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bcalcenconsult-my.sharepoint.com/personal/pbo_pbcalcenconsult_be/Documents/PB calc &amp; consult/5_klanten_projecten/100063_Agentschap Facilitair Bedrijf/04-projecten/"/>
    </mc:Choice>
  </mc:AlternateContent>
  <xr:revisionPtr revIDLastSave="41" documentId="8_{BC7485BD-21C4-44F9-BFDB-D151B2354BF8}" xr6:coauthVersionLast="47" xr6:coauthVersionMax="47" xr10:uidLastSave="{5C011E11-C0EE-4030-B8F5-3BD0C5E9E4F4}"/>
  <bookViews>
    <workbookView xWindow="28680" yWindow="-120" windowWidth="29040" windowHeight="17520" activeTab="6" xr2:uid="{B3080B38-9782-4E35-BF94-2A343369D4CE}"/>
  </bookViews>
  <sheets>
    <sheet name="Entities" sheetId="2" r:id="rId1"/>
    <sheet name="Subprojects" sheetId="3" r:id="rId2"/>
    <sheet name="Storeys" sheetId="4" r:id="rId3"/>
    <sheet name="Zones" sheetId="5" r:id="rId4"/>
    <sheet name="opmeting NBN EN15221-6" sheetId="6" r:id="rId5"/>
    <sheet name="KKG" sheetId="9" state="hidden" r:id="rId6"/>
    <sheet name="raming NEN2699" sheetId="8" r:id="rId7"/>
    <sheet name="blanco" sheetId="1" r:id="rId8"/>
  </sheets>
  <definedNames>
    <definedName name="_xlnm._FilterDatabase" localSheetId="0" hidden="1">Entities!$A$2:$K$8</definedName>
    <definedName name="_xlnm._FilterDatabase" localSheetId="4" hidden="1">'opmeting NBN EN15221-6'!$A$2:$O$10</definedName>
    <definedName name="_xlnm._FilterDatabase" localSheetId="6" hidden="1">'raming NEN2699'!$A$8:$J$167</definedName>
    <definedName name="_xlnm._FilterDatabase" localSheetId="2" hidden="1">Storeys!$A$3:$K$24</definedName>
    <definedName name="_xlnm._FilterDatabase" localSheetId="1" hidden="1">Subprojects!$A$2:$D$8</definedName>
    <definedName name="_xlnm._FilterDatabase" localSheetId="3" hidden="1">Zones!$A$2:$L$16</definedName>
    <definedName name="opmeting_building_footprint">'opmeting NBN EN15221-6'!$O$3:$O$10</definedName>
    <definedName name="opmeting_dak">'opmeting NBN EN15221-6'!$L$3:$L$10</definedName>
    <definedName name="opmeting_EA">'opmeting NBN EN15221-6'!$K$3:$K$10</definedName>
    <definedName name="opmeting_entity">'opmeting NBN EN15221-6'!$A$3:$A$10</definedName>
    <definedName name="opmeting_gevel">'opmeting NBN EN15221-6'!$M$3:$M$10</definedName>
    <definedName name="opmeting_GFAA">'opmeting NBN EN15221-6'!$F$3:$F$10</definedName>
    <definedName name="opmeting_GFAB">'opmeting NBN EN15221-6'!$G$3:$G$10</definedName>
    <definedName name="opmeting_GFAC">'opmeting NBN EN15221-6'!$H$3:$H$10</definedName>
    <definedName name="opmeting_LA">'opmeting NBN EN15221-6'!$J$3:$J$10</definedName>
    <definedName name="opmeting_NLA">'opmeting NBN EN15221-6'!$I$3:$I$10</definedName>
    <definedName name="opmeting_storey">'opmeting NBN EN15221-6'!$C$3:$C$10</definedName>
    <definedName name="opmeting_subproject">'opmeting NBN EN15221-6'!$B$3:$B$10</definedName>
    <definedName name="opmeting_verlaagd_buitenplafond">'opmeting NBN EN15221-6'!$N$3:$N$10</definedName>
    <definedName name="opmeting_zone">'opmeting NBN EN15221-6'!$D$3:$D$10</definedName>
    <definedName name="raming_entity">'raming NEN2699'!$B$9:$B$167</definedName>
    <definedName name="raming_storey">'raming NEN2699'!$D$9:$D$167</definedName>
    <definedName name="raming_subproject">'raming NEN2699'!$C$9:$C$167</definedName>
    <definedName name="raming_subtotaal">'raming NEN2699'!$I$9:$I$167</definedName>
    <definedName name="raming_zone">'raming NEN2699'!$E$9:$E$167</definedName>
    <definedName name="Stage1Entity">'raming NEN2699'!$B$8:$B$167</definedName>
    <definedName name="Stage1Storey">'raming NEN2699'!$D$8:$D$167</definedName>
    <definedName name="Stage1Subproject">'raming NEN2699'!$C$8:$C$167</definedName>
    <definedName name="Stage1Subtotaal">'raming NEN2699'!$I$8:$I$167</definedName>
    <definedName name="Stage1ZoneKstpl">'raming NEN2699'!$E$8:$E$167</definedName>
    <definedName name="SysVar_Entities">Entities!$C$3:$C$8</definedName>
    <definedName name="SysVar_Storeys">Storeys!$C$4:$C$20</definedName>
    <definedName name="SysVar_Subproject">Subprojects!$C$3:$C$8</definedName>
    <definedName name="SysVar_Zones">Zones!$C$3:$C$16</definedName>
    <definedName name="Tbl_opmeting_NBNEN152216">'opmeting NBN EN15221-6'!$A$2:$O$10</definedName>
    <definedName name="Tbl_raming">'raming NEN2699'!$A$9:$I$167</definedName>
    <definedName name="Tbl_zones">Zones!$C$2:$K$16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2" i="8" l="1"/>
  <c r="N3" i="6"/>
  <c r="F81" i="8"/>
  <c r="H70" i="8"/>
  <c r="I70" i="8" s="1"/>
  <c r="H66" i="8"/>
  <c r="F66" i="8"/>
  <c r="F65" i="8"/>
  <c r="I65" i="8" s="1"/>
  <c r="H61" i="8"/>
  <c r="F61" i="8"/>
  <c r="F60" i="8"/>
  <c r="I60" i="8" s="1"/>
  <c r="H59" i="8"/>
  <c r="F59" i="8"/>
  <c r="F58" i="8"/>
  <c r="I58" i="8" s="1"/>
  <c r="H57" i="8"/>
  <c r="F57" i="8"/>
  <c r="F56" i="8"/>
  <c r="I56" i="8" s="1"/>
  <c r="H55" i="8"/>
  <c r="F55" i="8"/>
  <c r="F54" i="8"/>
  <c r="I54" i="8" s="1"/>
  <c r="H53" i="8"/>
  <c r="F53" i="8"/>
  <c r="F52" i="8"/>
  <c r="F51" i="8"/>
  <c r="F50" i="8"/>
  <c r="H51" i="8"/>
  <c r="H42" i="8"/>
  <c r="H40" i="8"/>
  <c r="H47" i="8"/>
  <c r="F77" i="8"/>
  <c r="F76" i="8"/>
  <c r="K1" i="6"/>
  <c r="F73" i="8" s="1"/>
  <c r="F31" i="8"/>
  <c r="I43" i="8"/>
  <c r="I66" i="8" l="1"/>
  <c r="I61" i="8"/>
  <c r="I59" i="8"/>
  <c r="I57" i="8"/>
  <c r="I55" i="8"/>
  <c r="I53" i="8"/>
  <c r="I51" i="8"/>
  <c r="C8" i="4"/>
  <c r="F47" i="8"/>
  <c r="I47" i="8" s="1"/>
  <c r="F46" i="8"/>
  <c r="F42" i="8"/>
  <c r="I42" i="8" s="1"/>
  <c r="F41" i="8"/>
  <c r="F40" i="8"/>
  <c r="I40" i="8" s="1"/>
  <c r="F39" i="8"/>
  <c r="F38" i="8"/>
  <c r="I38" i="8" s="1"/>
  <c r="F37" i="8"/>
  <c r="I37" i="8" s="1"/>
  <c r="F36" i="8"/>
  <c r="I36" i="8" s="1"/>
  <c r="F35" i="8"/>
  <c r="F33" i="8"/>
  <c r="I33" i="8" s="1"/>
  <c r="F32" i="8"/>
  <c r="I32" i="8" s="1"/>
  <c r="H31" i="8"/>
  <c r="I63" i="8"/>
  <c r="I62" i="8"/>
  <c r="I52" i="8"/>
  <c r="G8" i="4" l="1"/>
  <c r="I8" i="4"/>
  <c r="J8" i="4"/>
  <c r="K8" i="4"/>
  <c r="J4" i="6"/>
  <c r="J5" i="6"/>
  <c r="J6" i="6"/>
  <c r="J7" i="6"/>
  <c r="J8" i="6"/>
  <c r="F8" i="4" s="1"/>
  <c r="L7" i="6"/>
  <c r="F34" i="8" s="1"/>
  <c r="F111" i="8" s="1"/>
  <c r="I111" i="8" s="1"/>
  <c r="F48" i="8"/>
  <c r="F112" i="8" s="1"/>
  <c r="I112" i="8" s="1"/>
  <c r="J9" i="6"/>
  <c r="O3" i="6"/>
  <c r="F30" i="8" s="1"/>
  <c r="F110" i="8" s="1"/>
  <c r="I110" i="8" s="1"/>
  <c r="J3" i="6"/>
  <c r="C11" i="5"/>
  <c r="L11" i="5" s="1"/>
  <c r="C10" i="5"/>
  <c r="L10" i="5" s="1"/>
  <c r="C9" i="5"/>
  <c r="L9" i="5" s="1"/>
  <c r="C8" i="5"/>
  <c r="L8" i="5" s="1"/>
  <c r="C7" i="5"/>
  <c r="L7" i="5" s="1"/>
  <c r="C6" i="5"/>
  <c r="L6" i="5" s="1"/>
  <c r="C5" i="5"/>
  <c r="L5" i="5" s="1"/>
  <c r="C4" i="5"/>
  <c r="L4" i="5" s="1"/>
  <c r="C3" i="5"/>
  <c r="K3" i="5" s="1"/>
  <c r="C7" i="4"/>
  <c r="I7" i="4" s="1"/>
  <c r="I144" i="8"/>
  <c r="I145" i="8"/>
  <c r="I147" i="8"/>
  <c r="I150" i="8"/>
  <c r="I152" i="8"/>
  <c r="I155" i="8"/>
  <c r="I156" i="8"/>
  <c r="I157" i="8"/>
  <c r="I158" i="8"/>
  <c r="I159" i="8"/>
  <c r="I161" i="8"/>
  <c r="I162" i="8"/>
  <c r="I163" i="8"/>
  <c r="I164" i="8"/>
  <c r="I165" i="8"/>
  <c r="I166" i="8"/>
  <c r="I141" i="8"/>
  <c r="I140" i="8" s="1"/>
  <c r="I138" i="8"/>
  <c r="I139" i="8"/>
  <c r="I136" i="8"/>
  <c r="I17" i="8"/>
  <c r="I113" i="8"/>
  <c r="I98" i="8"/>
  <c r="I85" i="8"/>
  <c r="I82" i="8"/>
  <c r="I67" i="8"/>
  <c r="I50" i="8"/>
  <c r="I68" i="8"/>
  <c r="I69" i="8"/>
  <c r="I71" i="8"/>
  <c r="I72" i="8"/>
  <c r="I74" i="8"/>
  <c r="I75" i="8"/>
  <c r="I76" i="8"/>
  <c r="I77" i="8"/>
  <c r="I78" i="8"/>
  <c r="I31" i="8"/>
  <c r="I35" i="8"/>
  <c r="I39" i="8"/>
  <c r="I41" i="8"/>
  <c r="I44" i="8"/>
  <c r="I45" i="8"/>
  <c r="I46" i="8"/>
  <c r="C5" i="4"/>
  <c r="L5" i="4" s="1"/>
  <c r="C6" i="4"/>
  <c r="F6" i="4" s="1"/>
  <c r="C9" i="4"/>
  <c r="G9" i="4" s="1"/>
  <c r="C10" i="4"/>
  <c r="K10" i="4" s="1"/>
  <c r="C11" i="4"/>
  <c r="L11" i="4" s="1"/>
  <c r="C12" i="4"/>
  <c r="L12" i="4" s="1"/>
  <c r="C13" i="4"/>
  <c r="L13" i="4" s="1"/>
  <c r="C14" i="4"/>
  <c r="L14" i="4" s="1"/>
  <c r="C15" i="4"/>
  <c r="L15" i="4" s="1"/>
  <c r="C16" i="4"/>
  <c r="L16" i="4" s="1"/>
  <c r="C17" i="4"/>
  <c r="L17" i="4" s="1"/>
  <c r="C18" i="4"/>
  <c r="L18" i="4" s="1"/>
  <c r="C19" i="4"/>
  <c r="L19" i="4" s="1"/>
  <c r="C20" i="4"/>
  <c r="I106" i="8"/>
  <c r="C4" i="4"/>
  <c r="L4" i="4" s="1"/>
  <c r="C12" i="5"/>
  <c r="L12" i="5" s="1"/>
  <c r="K5" i="5"/>
  <c r="K9" i="5"/>
  <c r="K11" i="5"/>
  <c r="J9" i="5"/>
  <c r="C5" i="2"/>
  <c r="C6" i="2"/>
  <c r="F1" i="6"/>
  <c r="C6" i="3"/>
  <c r="D6" i="3" s="1"/>
  <c r="I129" i="8"/>
  <c r="I15" i="8"/>
  <c r="I132" i="8"/>
  <c r="I23" i="8"/>
  <c r="I21" i="8"/>
  <c r="E27" i="9"/>
  <c r="D27" i="9"/>
  <c r="C27" i="9"/>
  <c r="C8" i="9"/>
  <c r="D8" i="9"/>
  <c r="E8" i="9"/>
  <c r="C9" i="9"/>
  <c r="D9" i="9"/>
  <c r="E9" i="9"/>
  <c r="C10" i="9"/>
  <c r="D10" i="9"/>
  <c r="E10" i="9"/>
  <c r="D7" i="9"/>
  <c r="E7" i="9"/>
  <c r="C7" i="9"/>
  <c r="I133" i="8"/>
  <c r="I131" i="8"/>
  <c r="I130" i="8"/>
  <c r="I126" i="8"/>
  <c r="I125" i="8"/>
  <c r="I123" i="8"/>
  <c r="I122" i="8"/>
  <c r="I121" i="8"/>
  <c r="I120" i="8"/>
  <c r="I119" i="8"/>
  <c r="I117" i="8"/>
  <c r="I115" i="8"/>
  <c r="I114" i="8"/>
  <c r="I108" i="8"/>
  <c r="I107" i="8"/>
  <c r="I105" i="8"/>
  <c r="I103" i="8"/>
  <c r="I102" i="8"/>
  <c r="I101" i="8"/>
  <c r="I99" i="8"/>
  <c r="I97" i="8"/>
  <c r="I94" i="8"/>
  <c r="I93" i="8"/>
  <c r="I92" i="8"/>
  <c r="I90" i="8"/>
  <c r="I89" i="8"/>
  <c r="I88" i="8"/>
  <c r="I84" i="8"/>
  <c r="I83" i="8"/>
  <c r="I27" i="8"/>
  <c r="I26" i="8"/>
  <c r="I25" i="8"/>
  <c r="I24" i="8"/>
  <c r="I22" i="8"/>
  <c r="I20" i="8"/>
  <c r="I18" i="8"/>
  <c r="I14" i="8"/>
  <c r="I13" i="8"/>
  <c r="I12" i="8"/>
  <c r="I11" i="8"/>
  <c r="I100" i="8"/>
  <c r="M1" i="6"/>
  <c r="G1" i="6"/>
  <c r="I1" i="6"/>
  <c r="H1" i="6"/>
  <c r="N1" i="6"/>
  <c r="C4" i="3"/>
  <c r="D4" i="3" s="1"/>
  <c r="C5" i="3"/>
  <c r="D5" i="3" s="1"/>
  <c r="C7" i="3"/>
  <c r="D7" i="3" s="1"/>
  <c r="C3" i="3"/>
  <c r="C4" i="2"/>
  <c r="C7" i="2"/>
  <c r="K7" i="2" s="1"/>
  <c r="C3" i="2"/>
  <c r="I118" i="8"/>
  <c r="I128" i="8"/>
  <c r="I127" i="8"/>
  <c r="I109" i="8"/>
  <c r="K6" i="5" l="1"/>
  <c r="J11" i="5"/>
  <c r="I11" i="5"/>
  <c r="H5" i="5"/>
  <c r="O1" i="6"/>
  <c r="J6" i="5"/>
  <c r="J5" i="5"/>
  <c r="I6" i="5"/>
  <c r="I5" i="5"/>
  <c r="G5" i="5"/>
  <c r="K8" i="5"/>
  <c r="J8" i="5"/>
  <c r="I9" i="5"/>
  <c r="J7" i="5"/>
  <c r="I8" i="5"/>
  <c r="I7" i="5"/>
  <c r="K4" i="5"/>
  <c r="G4" i="5"/>
  <c r="K7" i="5"/>
  <c r="H9" i="5"/>
  <c r="H4" i="5"/>
  <c r="G9" i="5"/>
  <c r="G8" i="5"/>
  <c r="H8" i="5"/>
  <c r="G7" i="5"/>
  <c r="H7" i="5"/>
  <c r="J13" i="4"/>
  <c r="I6" i="2"/>
  <c r="J6" i="2" a="1"/>
  <c r="J6" i="2" s="1"/>
  <c r="H5" i="2"/>
  <c r="J5" i="2" a="1"/>
  <c r="J5" i="2" s="1"/>
  <c r="I4" i="5"/>
  <c r="J4" i="5"/>
  <c r="G6" i="5"/>
  <c r="H6" i="5"/>
  <c r="H3" i="5"/>
  <c r="L3" i="5"/>
  <c r="H3" i="2"/>
  <c r="J3" i="2" a="1"/>
  <c r="J3" i="2" s="1"/>
  <c r="K10" i="5"/>
  <c r="G11" i="5"/>
  <c r="H11" i="5"/>
  <c r="G3" i="5"/>
  <c r="C13" i="5"/>
  <c r="G10" i="5"/>
  <c r="H10" i="5"/>
  <c r="F19" i="4"/>
  <c r="F14" i="4"/>
  <c r="I10" i="5"/>
  <c r="J10" i="5"/>
  <c r="E4" i="2"/>
  <c r="J4" i="2" a="1"/>
  <c r="J4" i="2" s="1"/>
  <c r="J14" i="4"/>
  <c r="H81" i="8"/>
  <c r="I81" i="8" s="1"/>
  <c r="K4" i="2" s="1"/>
  <c r="F12" i="4"/>
  <c r="J9" i="4"/>
  <c r="F11" i="4"/>
  <c r="K18" i="4"/>
  <c r="J17" i="4"/>
  <c r="F9" i="4"/>
  <c r="C21" i="4"/>
  <c r="L20" i="4"/>
  <c r="I19" i="4"/>
  <c r="K17" i="4"/>
  <c r="I13" i="4"/>
  <c r="K12" i="4"/>
  <c r="I11" i="4"/>
  <c r="K7" i="4"/>
  <c r="L9" i="4"/>
  <c r="I30" i="8"/>
  <c r="L8" i="4"/>
  <c r="K6" i="2"/>
  <c r="E5" i="2"/>
  <c r="G6" i="2"/>
  <c r="L6" i="2" s="1"/>
  <c r="G5" i="2"/>
  <c r="L5" i="2" s="1"/>
  <c r="I5" i="2"/>
  <c r="H6" i="2"/>
  <c r="D5" i="2"/>
  <c r="E6" i="2"/>
  <c r="K5" i="2"/>
  <c r="D6" i="2"/>
  <c r="F7" i="4"/>
  <c r="I34" i="8"/>
  <c r="L10" i="4" s="1"/>
  <c r="L1" i="6"/>
  <c r="I48" i="8"/>
  <c r="L7" i="4" s="1"/>
  <c r="H8" i="4"/>
  <c r="G18" i="4"/>
  <c r="G5" i="4"/>
  <c r="J16" i="4"/>
  <c r="K4" i="4"/>
  <c r="F13" i="4"/>
  <c r="G17" i="4"/>
  <c r="I4" i="4"/>
  <c r="I12" i="4"/>
  <c r="J15" i="4"/>
  <c r="K19" i="4"/>
  <c r="K11" i="4"/>
  <c r="G14" i="4"/>
  <c r="I17" i="4"/>
  <c r="J4" i="4"/>
  <c r="J12" i="4"/>
  <c r="K16" i="4"/>
  <c r="F18" i="4"/>
  <c r="F17" i="4"/>
  <c r="F5" i="4"/>
  <c r="G13" i="4"/>
  <c r="I16" i="4"/>
  <c r="J19" i="4"/>
  <c r="J11" i="4"/>
  <c r="K15" i="4"/>
  <c r="G15" i="4"/>
  <c r="I18" i="4"/>
  <c r="I5" i="4"/>
  <c r="K5" i="4"/>
  <c r="F16" i="4"/>
  <c r="G4" i="4"/>
  <c r="G12" i="4"/>
  <c r="I15" i="4"/>
  <c r="J18" i="4"/>
  <c r="K14" i="4"/>
  <c r="F4" i="4"/>
  <c r="G16" i="4"/>
  <c r="F15" i="4"/>
  <c r="G19" i="4"/>
  <c r="G11" i="4"/>
  <c r="I14" i="4"/>
  <c r="J5" i="4"/>
  <c r="K13" i="4"/>
  <c r="I137" i="8"/>
  <c r="I135" i="8" s="1"/>
  <c r="I134" i="8" s="1"/>
  <c r="I160" i="8"/>
  <c r="I154" i="8" s="1"/>
  <c r="I153" i="8" s="1"/>
  <c r="I151" i="8" s="1"/>
  <c r="I149" i="8" s="1"/>
  <c r="J1" i="6"/>
  <c r="F28" i="8" s="1"/>
  <c r="I3" i="5"/>
  <c r="J3" i="5"/>
  <c r="G10" i="4"/>
  <c r="J10" i="4"/>
  <c r="I10" i="4"/>
  <c r="F10" i="4"/>
  <c r="K9" i="4"/>
  <c r="I9" i="4"/>
  <c r="G7" i="4"/>
  <c r="J7" i="4"/>
  <c r="I6" i="4"/>
  <c r="G6" i="4"/>
  <c r="K6" i="4"/>
  <c r="J6" i="4"/>
  <c r="I4" i="2"/>
  <c r="G4" i="2"/>
  <c r="H4" i="2"/>
  <c r="D4" i="2"/>
  <c r="D3" i="2"/>
  <c r="G3" i="2"/>
  <c r="I3" i="2"/>
  <c r="E3" i="2"/>
  <c r="I19" i="8"/>
  <c r="I16" i="8" s="1"/>
  <c r="I10" i="8" s="1"/>
  <c r="I9" i="8" s="1"/>
  <c r="H80" i="8" l="1"/>
  <c r="F5" i="2"/>
  <c r="G1" i="5"/>
  <c r="L4" i="2"/>
  <c r="K1" i="5"/>
  <c r="H13" i="4"/>
  <c r="H5" i="4"/>
  <c r="J1" i="5"/>
  <c r="F6" i="2"/>
  <c r="H1" i="5"/>
  <c r="H17" i="4"/>
  <c r="H7" i="4"/>
  <c r="F104" i="8"/>
  <c r="F29" i="8"/>
  <c r="F49" i="8"/>
  <c r="F64" i="8"/>
  <c r="L13" i="5"/>
  <c r="C14" i="5"/>
  <c r="H15" i="4"/>
  <c r="I1" i="5"/>
  <c r="C23" i="4"/>
  <c r="L23" i="4" s="1"/>
  <c r="C22" i="4"/>
  <c r="L22" i="4" s="1"/>
  <c r="L6" i="4"/>
  <c r="H11" i="4"/>
  <c r="H16" i="4"/>
  <c r="H19" i="4"/>
  <c r="H14" i="4"/>
  <c r="H12" i="4"/>
  <c r="H18" i="4"/>
  <c r="F3" i="2"/>
  <c r="G1" i="4"/>
  <c r="H10" i="4"/>
  <c r="H6" i="4"/>
  <c r="H9" i="4"/>
  <c r="J1" i="4"/>
  <c r="F4" i="2"/>
  <c r="L7" i="2"/>
  <c r="I148" i="8"/>
  <c r="I146" i="8" s="1"/>
  <c r="I143" i="8" s="1"/>
  <c r="I142" i="8" s="1"/>
  <c r="I124" i="8"/>
  <c r="I116" i="8" s="1"/>
  <c r="I104" i="8" s="1"/>
  <c r="K1" i="4"/>
  <c r="I1" i="4"/>
  <c r="H4" i="4"/>
  <c r="F1" i="4"/>
  <c r="L14" i="5" l="1"/>
  <c r="C15" i="5"/>
  <c r="L15" i="5" s="1"/>
  <c r="I80" i="8"/>
  <c r="H79" i="8" s="1"/>
  <c r="I96" i="8"/>
  <c r="I95" i="8" s="1"/>
  <c r="I91" i="8" s="1"/>
  <c r="I87" i="8" s="1"/>
  <c r="I86" i="8" s="1"/>
  <c r="H104" i="8"/>
  <c r="H1" i="4"/>
  <c r="I2" i="4" s="1"/>
  <c r="L1" i="5" l="1"/>
  <c r="I79" i="8"/>
  <c r="L21" i="4"/>
  <c r="L1" i="4" s="1"/>
  <c r="K3" i="2"/>
  <c r="D3" i="3"/>
  <c r="D1" i="3" s="1"/>
  <c r="K2" i="4"/>
  <c r="J2" i="4"/>
  <c r="I73" i="8" l="1"/>
  <c r="I64" i="8" s="1"/>
  <c r="I49" i="8" s="1"/>
  <c r="I29" i="8" s="1"/>
  <c r="L3" i="2"/>
  <c r="K1" i="2"/>
  <c r="H73" i="8" l="1"/>
  <c r="H64" i="8"/>
  <c r="I28" i="8"/>
  <c r="H49" i="8" l="1"/>
  <c r="H29" i="8"/>
  <c r="H28" i="8" l="1"/>
  <c r="I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</author>
  </authors>
  <commentList>
    <comment ref="H2" authorId="0" shapeId="0" xr:uid="{445545CB-C25D-4CF5-8E3D-EC3FF3FEFF3D}">
      <text>
        <r>
          <rPr>
            <sz val="9"/>
            <color indexed="81"/>
            <rFont val="Tahoma"/>
            <family val="2"/>
          </rPr>
          <t>dit is dakoppervlakte dat constant ter beschikking staat voor de gebruikers</t>
        </r>
      </text>
    </comment>
    <comment ref="L2" authorId="0" shapeId="0" xr:uid="{BC4E9E55-EE3D-4D42-B1DB-D61BE10AC8CF}">
      <text>
        <r>
          <rPr>
            <sz val="9"/>
            <color indexed="81"/>
            <rFont val="Tahoma"/>
            <family val="2"/>
          </rPr>
          <t>dit is dakoppervlakte waar enkel mensen op komen voor onderhoud</t>
        </r>
      </text>
    </comment>
    <comment ref="N2" authorId="0" shapeId="0" xr:uid="{66E60ABD-F270-403B-8726-29E0AD0A38B5}">
      <text>
        <r>
          <rPr>
            <sz val="9"/>
            <color indexed="81"/>
            <rFont val="Tahoma"/>
            <family val="2"/>
          </rPr>
          <t>stemt overeen met GFA,B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<sst xmlns="http://schemas.openxmlformats.org/spreadsheetml/2006/main" count="704" uniqueCount="303">
  <si>
    <t>code</t>
  </si>
  <si>
    <t>omschrijving</t>
  </si>
  <si>
    <t>dropdownlijst</t>
  </si>
  <si>
    <t>Entities</t>
  </si>
  <si>
    <t>Storeys</t>
  </si>
  <si>
    <t>[S]#91</t>
  </si>
  <si>
    <t>[S]#01</t>
  </si>
  <si>
    <t>[S]#02</t>
  </si>
  <si>
    <t>[S]#03</t>
  </si>
  <si>
    <t>[S]#04</t>
  </si>
  <si>
    <t>[S]#05</t>
  </si>
  <si>
    <t>[S]#06</t>
  </si>
  <si>
    <t>[S]#07</t>
  </si>
  <si>
    <t>Zones</t>
  </si>
  <si>
    <t>Entity</t>
  </si>
  <si>
    <t>Storey</t>
  </si>
  <si>
    <t>Zone</t>
  </si>
  <si>
    <t>LA [m²]</t>
  </si>
  <si>
    <t>NLA [m²]</t>
  </si>
  <si>
    <t>dak [m²]</t>
  </si>
  <si>
    <t>gevel [m²]</t>
  </si>
  <si>
    <t>verlaagd buitenplafond [m²]</t>
  </si>
  <si>
    <t>GFA,A [m²]</t>
  </si>
  <si>
    <t>GFA,B [m²]</t>
  </si>
  <si>
    <t>GFA,C [m²]</t>
  </si>
  <si>
    <t>toelichting</t>
  </si>
  <si>
    <t>multiple zones</t>
  </si>
  <si>
    <t>[Z]</t>
  </si>
  <si>
    <t>[S]</t>
  </si>
  <si>
    <t>multiple storeys</t>
  </si>
  <si>
    <t>subtotalen t.b.v. gebruik autofilter</t>
  </si>
  <si>
    <t>[E]#1</t>
  </si>
  <si>
    <t>[E]#2</t>
  </si>
  <si>
    <t xml:space="preserve">niveau 2: clusters volgens NEN 2699 dd 2017 </t>
  </si>
  <si>
    <t>niveau 4: elementen volgens NEN 2699 dd 2017, hoofdindeling van tabel 1 BB-SfB (m.u.z. installaties: tabel 1 Nl-SfB) en NBN EN 15221-4:2006 - Stage 2 Concept Design</t>
  </si>
  <si>
    <t>niveau 5: vrije keuze volgens NEN 2699 dd 2017 - BouwData: componenten = aanvullingen o.b.v. tabel 1, BB-SfB Plus, aangepast aan de praktijk (index a, b, c, …), Nl-SfB m.b.t. de installaties en NBN EN 15221-4:2006 - Stage 3 Spatial Coordination</t>
  </si>
  <si>
    <t>niveau 6: vrije keuze volgens NEN 2699 dd 2017 - BouwData: omschakeling naar Material Code gebaseerd op Uniclass Systems en STABU2 m.b.t. ruwbouw en afwerking</t>
  </si>
  <si>
    <t>TOTAAL</t>
  </si>
  <si>
    <t>Object Code BouwData</t>
  </si>
  <si>
    <t>[E] Entity</t>
  </si>
  <si>
    <t>#</t>
  </si>
  <si>
    <t>EH</t>
  </si>
  <si>
    <t>KKG</t>
  </si>
  <si>
    <t>subtotaal</t>
  </si>
  <si>
    <t>A GRONDKOSTEN</t>
  </si>
  <si>
    <t>A1 Inbreng grond (inclusief bestaande opstallen)</t>
  </si>
  <si>
    <t>A1A Grond (inclusief bestaande opstallen)</t>
  </si>
  <si>
    <t>A1B Verwerving</t>
  </si>
  <si>
    <t>A1C Belastingen en heffingen</t>
  </si>
  <si>
    <t>A1D Bijdragen, vergoedingen en schadeloosstellingen</t>
  </si>
  <si>
    <t>A1E Tijdelijke exploitatie/tijdelijk onderhoud</t>
  </si>
  <si>
    <t>A2 Sloopwerken - milieukosten</t>
  </si>
  <si>
    <t>A3 Infrastructurele voorzieningen</t>
  </si>
  <si>
    <t>B1 Bouwkundige werken</t>
  </si>
  <si>
    <t>B1A Fundering</t>
  </si>
  <si>
    <t>m²</t>
  </si>
  <si>
    <t>B1B Skelet</t>
  </si>
  <si>
    <t>B1C Dakafbouw/dakafwerking</t>
  </si>
  <si>
    <t>B1D Gevelafbouw/gevelafwerking</t>
  </si>
  <si>
    <t>B1E Binnenwandafbouw/binnenwandafwerking</t>
  </si>
  <si>
    <t>B2 Installaties</t>
  </si>
  <si>
    <t>B2B Werktuigbouw: klimaatinstallaties</t>
  </si>
  <si>
    <t>B2C Werktuigbouw: regelingen</t>
  </si>
  <si>
    <t>B2D Werktuigkundige brandveiligheid</t>
  </si>
  <si>
    <t xml:space="preserve">B2E Elektrotechniek: centraal </t>
  </si>
  <si>
    <t>B2F Elektrotechniek: decentraal energie</t>
  </si>
  <si>
    <t>B2G Elektrotechniek: decentraal signaal</t>
  </si>
  <si>
    <t>B2I Asset management systeem</t>
  </si>
  <si>
    <t>niet van toepassing</t>
  </si>
  <si>
    <t>B3 Vaste inrichtingen en voorzieningen</t>
  </si>
  <si>
    <t>B3(71) Vaste verkeersvoorzieningen</t>
  </si>
  <si>
    <t>B3 (72) Vaste gebruikersvoorzieningen</t>
  </si>
  <si>
    <t>B3(73) Vaste keukenvoorzieningen</t>
  </si>
  <si>
    <t>B3(74) Vaste sanitairvoorzieningen</t>
  </si>
  <si>
    <t>B3(75) Vaste onderhoudsvoorzieningen</t>
  </si>
  <si>
    <t>B3(76) Vaste opslagvoorzieningen</t>
  </si>
  <si>
    <t>B3(77) Vaste voorzieningen voor speciale activiteiten</t>
  </si>
  <si>
    <t>B4 Terrein</t>
  </si>
  <si>
    <t>B4E Terreininrichting</t>
  </si>
  <si>
    <t>B5B Algemene uitvoeringskosten (project)</t>
  </si>
  <si>
    <t>B5C Coördinatiekosten nevenaannemers</t>
  </si>
  <si>
    <t>B5E Winst en risico (bouwbedrijf)</t>
  </si>
  <si>
    <t>C INITIËLE INRICHTINGSKOSTEN</t>
  </si>
  <si>
    <t>C1 Bedrijfsinstallaties</t>
  </si>
  <si>
    <t>C1A Bedrijfsinstallaties</t>
  </si>
  <si>
    <t>C1B Bouwkundige werken t.b.v. bedrijfsinstallaties</t>
  </si>
  <si>
    <t>C1C Installaties t.b.v. bedrijfsinstallaties</t>
  </si>
  <si>
    <t>C2 Losse inrichtingen</t>
  </si>
  <si>
    <t>C2A Inventaris</t>
  </si>
  <si>
    <t>C2B Bouwkundige werken t.b.v. losse inrichtingen</t>
  </si>
  <si>
    <t>C2C Installaties t.b.v. losse inrichtingen</t>
  </si>
  <si>
    <t>D BIJKOMENDE KOSTEN ONTWERP EN UITVOERING</t>
  </si>
  <si>
    <r>
      <t xml:space="preserve">D1 Bijkomende kosten </t>
    </r>
    <r>
      <rPr>
        <u/>
        <sz val="11"/>
        <color rgb="FF000080"/>
        <rFont val="Calibri"/>
        <family val="2"/>
        <scheme val="minor"/>
      </rPr>
      <t>grond</t>
    </r>
  </si>
  <si>
    <t>D1A Projectbegeleiding door de opdrachtgever</t>
  </si>
  <si>
    <t>D1C Heffingen</t>
  </si>
  <si>
    <t>D1D Verzekeringen</t>
  </si>
  <si>
    <t>D1E Risicoverrekening</t>
  </si>
  <si>
    <t>D1F Ontwikkelaarskosten</t>
  </si>
  <si>
    <t>D1G Verkoopkosten</t>
  </si>
  <si>
    <r>
      <t xml:space="preserve">D2 Bijkomende kosten </t>
    </r>
    <r>
      <rPr>
        <u/>
        <sz val="11"/>
        <color rgb="FF000080"/>
        <rFont val="Calibri"/>
        <family val="2"/>
        <scheme val="minor"/>
      </rPr>
      <t>bouw</t>
    </r>
  </si>
  <si>
    <t>D2A Projectbegeleiding door de opdrachtgever</t>
  </si>
  <si>
    <t>D2B Honoraria (planontwikkeling en -begeleiding)</t>
  </si>
  <si>
    <t>D2C Aansluitkosten</t>
  </si>
  <si>
    <t>D2D Heffingen</t>
  </si>
  <si>
    <t>D2F Risicoverrekening</t>
  </si>
  <si>
    <t>D2H Ontwikkelaarskosten</t>
  </si>
  <si>
    <t>D2I Verkoopkosten</t>
  </si>
  <si>
    <r>
      <t xml:space="preserve">D3 Bijkomende kosten </t>
    </r>
    <r>
      <rPr>
        <u/>
        <sz val="11"/>
        <color rgb="FF000080"/>
        <rFont val="Calibri"/>
        <family val="2"/>
        <scheme val="minor"/>
      </rPr>
      <t>inrichting</t>
    </r>
  </si>
  <si>
    <t>D3A Projectbegeleiding door de opdrachtgever</t>
  </si>
  <si>
    <t>D3B Honoraria (planontwikkeling en -begeleiding)</t>
  </si>
  <si>
    <t>D3C Heffingen</t>
  </si>
  <si>
    <t>D3D Verzekeringen</t>
  </si>
  <si>
    <t>D3E Risicoverrekening</t>
  </si>
  <si>
    <t>D3F Kunst</t>
  </si>
  <si>
    <t>D3G Ontwikkelaarskosten</t>
  </si>
  <si>
    <t>D4 Aanloopkosten</t>
  </si>
  <si>
    <t>D4A Bestuurskosten</t>
  </si>
  <si>
    <t>D4B Werving personeel</t>
  </si>
  <si>
    <t>D4C Vervroegde aanstellingen</t>
  </si>
  <si>
    <t>D4D Schoonmaken eerste oplevering</t>
  </si>
  <si>
    <t>D4E Verhuiskosten</t>
  </si>
  <si>
    <t>D4F Openingskosten</t>
  </si>
  <si>
    <t>D4G Leegstand</t>
  </si>
  <si>
    <t>D4H Tijdelijke huisvesting</t>
  </si>
  <si>
    <t>D4I Bedrijfskapitaal/kas</t>
  </si>
  <si>
    <t>E ONVOORZIEN</t>
  </si>
  <si>
    <t>F BELASTINGEN</t>
  </si>
  <si>
    <t>F1A Omzetbelasting binnenland</t>
  </si>
  <si>
    <t>F1B Omzetbelasting buitenland</t>
  </si>
  <si>
    <t>F2 Bijzondere belastingen</t>
  </si>
  <si>
    <t>F2A Andere belastingen</t>
  </si>
  <si>
    <t>G FINANCIERING</t>
  </si>
  <si>
    <t>G1 Financieringskosten/rente (grond)</t>
  </si>
  <si>
    <t>G1A Grondrente</t>
  </si>
  <si>
    <t>G2 Financieringskosten/rente (bouw)</t>
  </si>
  <si>
    <t>G2A Bouwrente</t>
  </si>
  <si>
    <t>X FACILITY PRODUCTS</t>
  </si>
  <si>
    <t>X1000 Space and Infrastructure</t>
  </si>
  <si>
    <t>X1100 Space</t>
  </si>
  <si>
    <t>X1200 Outdoors</t>
  </si>
  <si>
    <t>X1300 Cleaning</t>
  </si>
  <si>
    <t>X1400 Workplace</t>
  </si>
  <si>
    <t>X1900 Primary Activity Specific</t>
  </si>
  <si>
    <t>X2000 People and Organisation</t>
  </si>
  <si>
    <t>X2100 Health, Safety, Security and Environment</t>
  </si>
  <si>
    <t>X2200 Hospitality</t>
  </si>
  <si>
    <t>X2300 ICT</t>
  </si>
  <si>
    <t>X2400 Logistics</t>
  </si>
  <si>
    <t>X2500 Business Support</t>
  </si>
  <si>
    <t>X2900 Organisation Specific</t>
  </si>
  <si>
    <t>[E]</t>
  </si>
  <si>
    <t>multiple entities</t>
  </si>
  <si>
    <t>[P]</t>
  </si>
  <si>
    <t>GFA [m²]</t>
  </si>
  <si>
    <t>wordt bepaald door de architectuur</t>
  </si>
  <si>
    <t>B2A Werktuigbouw: vloeistof- en gasinstallaties - nutsvoorzieningen</t>
  </si>
  <si>
    <t>B2A Werktuigbouw: vloeistof- en gasinstallaties - medische gassen</t>
  </si>
  <si>
    <t>B2H Transport - liften</t>
  </si>
  <si>
    <t>B2H Transport - buizenpost</t>
  </si>
  <si>
    <t>HOTFLOOR</t>
  </si>
  <si>
    <t>HOTEL</t>
  </si>
  <si>
    <t>KANTOOR</t>
  </si>
  <si>
    <t>FABRIEK</t>
  </si>
  <si>
    <t>inclusief bij B2B</t>
  </si>
  <si>
    <t>[S]_multiple storeys</t>
  </si>
  <si>
    <t>gelegen op</t>
  </si>
  <si>
    <r>
      <t>B1G Trappen en hellingbanen binnen</t>
    </r>
    <r>
      <rPr>
        <strike/>
        <sz val="11"/>
        <color rgb="FF000080"/>
        <rFont val="Calibri"/>
        <family val="2"/>
        <scheme val="minor"/>
      </rPr>
      <t>/buiten</t>
    </r>
  </si>
  <si>
    <r>
      <t>B1F Vloerafbouw/vloerafwerking binnen</t>
    </r>
    <r>
      <rPr>
        <strike/>
        <sz val="11"/>
        <color rgb="FF000080"/>
        <rFont val="Calibri"/>
        <family val="2"/>
        <scheme val="minor"/>
      </rPr>
      <t>/buiten</t>
    </r>
  </si>
  <si>
    <r>
      <t>B1H Plafonds binnen</t>
    </r>
    <r>
      <rPr>
        <strike/>
        <sz val="11"/>
        <color rgb="FF000080"/>
        <rFont val="Calibri"/>
        <family val="2"/>
        <scheme val="minor"/>
      </rPr>
      <t>/buiten</t>
    </r>
  </si>
  <si>
    <t>tp</t>
  </si>
  <si>
    <t>raming</t>
  </si>
  <si>
    <t>[P]#01</t>
  </si>
  <si>
    <t>[P]#02</t>
  </si>
  <si>
    <t>[P]#03</t>
  </si>
  <si>
    <t>gelijk KKG voor alle gebouwtypologiën</t>
  </si>
  <si>
    <t>aanname: voorzien via nog te financieren PF4 uitrusting</t>
  </si>
  <si>
    <t>D2E Verzekeringen</t>
  </si>
  <si>
    <t>Entiteit</t>
  </si>
  <si>
    <t>[E]_multiple entities</t>
  </si>
  <si>
    <t>in entiteit</t>
  </si>
  <si>
    <t>st</t>
  </si>
  <si>
    <t>&lt;xxx&gt;</t>
  </si>
  <si>
    <t>[E]#3</t>
  </si>
  <si>
    <t>[S]#93</t>
  </si>
  <si>
    <t>[S]#92</t>
  </si>
  <si>
    <t>[S]#08</t>
  </si>
  <si>
    <t>[S]#09</t>
  </si>
  <si>
    <t>[S]#10</t>
  </si>
  <si>
    <t>[Z]#&lt;xxx&gt;</t>
  </si>
  <si>
    <t>B1F2 Vloeren buiten</t>
  </si>
  <si>
    <t>B1G1 Trappen en hellingbanen binnen</t>
  </si>
  <si>
    <t>B1G2 Trappen en hellingbanen buiten</t>
  </si>
  <si>
    <t>B1H1 Plafonds binnen</t>
  </si>
  <si>
    <t>B1H2 Plafonds buiten</t>
  </si>
  <si>
    <t>%</t>
  </si>
  <si>
    <t>plot area</t>
  </si>
  <si>
    <t>supplement t.o.v. grond (A1A)</t>
  </si>
  <si>
    <t>supplement t.o.v. grond (A1A) - inclusief kelderlagen</t>
  </si>
  <si>
    <t>supplement t.o.v. grond (A1A) - d.i. brownfield sanering, mazouttanks, etc</t>
  </si>
  <si>
    <t>total m² external area – public</t>
  </si>
  <si>
    <t>supplement t.o.v. elementclusters A3A t.e.m. A3G</t>
  </si>
  <si>
    <t>related m² external area – public</t>
  </si>
  <si>
    <t>st, [S]</t>
  </si>
  <si>
    <t>per stuk per bouwlaag, opgesplitst per [E] entity en per [Z] zone</t>
  </si>
  <si>
    <t>niveau 1: rubrieken volgens NEN 2699 dd 2017</t>
  </si>
  <si>
    <t>niveau 3: elementclusters volgens NEN 2699 dd 2017 en tabel 1 NL-SfB 2019/BB-SfB 1990 i.s.m. Agentschap Facilitair Bedrijf</t>
  </si>
  <si>
    <t>B2H Meet-en regelinstallaties en gebouwbeheersysteem</t>
  </si>
  <si>
    <t>external area - communal &amp; private</t>
  </si>
  <si>
    <t>betrokken m² external area - communal &amp; private</t>
  </si>
  <si>
    <t>B5D Algemene kosten (bouwbedrijf)</t>
  </si>
  <si>
    <t>door andere aannemers dan zij belast met de bouw van de faciliteit</t>
  </si>
  <si>
    <t>D1B Honoraria (planontwikkeling en -begeleiding)</t>
  </si>
  <si>
    <t>D2G Kunst</t>
  </si>
  <si>
    <t>E1 Onvoorzien grond</t>
  </si>
  <si>
    <t>E1A Onvoorzien grond</t>
  </si>
  <si>
    <t>E2 Onvoorzien bouw</t>
  </si>
  <si>
    <t>E2A Onvoorzien bouw - S1 t.e.m. S3</t>
  </si>
  <si>
    <t>E2B Onvoorzien bouw - S4 t.e.m. S6</t>
  </si>
  <si>
    <t>E3 Onvoorzien inrichting</t>
  </si>
  <si>
    <t>E3A Onvoorzien inrichting</t>
  </si>
  <si>
    <t>F1 Omzetbelasting</t>
  </si>
  <si>
    <t>[S]#00</t>
  </si>
  <si>
    <t>Subprojects</t>
  </si>
  <si>
    <t>Subproject</t>
  </si>
  <si>
    <t>[P] Subproject</t>
  </si>
  <si>
    <t>tijdenssubproject</t>
  </si>
  <si>
    <t>tijdens subproject</t>
  </si>
  <si>
    <t>multiple subprojects</t>
  </si>
  <si>
    <t>[P]_multiple subprojects</t>
  </si>
  <si>
    <t>gebouw</t>
  </si>
  <si>
    <t>terrein</t>
  </si>
  <si>
    <t>fundering</t>
  </si>
  <si>
    <t>gelijkvloers</t>
  </si>
  <si>
    <t>eerste verdieping</t>
  </si>
  <si>
    <t>dakafwerking</t>
  </si>
  <si>
    <t>[E]#1_gebouw</t>
  </si>
  <si>
    <t>[S]#00_gelijkvloers</t>
  </si>
  <si>
    <t>foundation footprint [m²]</t>
  </si>
  <si>
    <t>[S]#01_eerste verdieping</t>
  </si>
  <si>
    <t>geen subprojects</t>
  </si>
  <si>
    <t>geen zones</t>
  </si>
  <si>
    <t>[P]#01_geen subprojects</t>
  </si>
  <si>
    <t>[Z]#&lt;xxx&gt;_geen zones</t>
  </si>
  <si>
    <t>[S]#02_dakafwerking</t>
  </si>
  <si>
    <t>standaard gevel</t>
  </si>
  <si>
    <t>vliesgevel</t>
  </si>
  <si>
    <t>B INITIËLE BOUWKOSTEN</t>
  </si>
  <si>
    <t>A2A Sloopwerken Bouw(werk)</t>
  </si>
  <si>
    <t>A2B Sloopwerken Ondergronds</t>
  </si>
  <si>
    <t>A3A Infra Grondwerken</t>
  </si>
  <si>
    <t>A3B Infra Verhardingen</t>
  </si>
  <si>
    <t>A3C Infra Rioleringen</t>
  </si>
  <si>
    <t>A3D Infra Groenaanleg</t>
  </si>
  <si>
    <t>A3E Infra Nutsvoorzieningen</t>
  </si>
  <si>
    <t>A3F Infra Kunstwerken</t>
  </si>
  <si>
    <t>A3G Infra Bouw(werken)</t>
  </si>
  <si>
    <t>A3H Infra Wettelijke verplichtingen</t>
  </si>
  <si>
    <t>B1E Binnenwandafbouw/binnenafwerking wanden</t>
  </si>
  <si>
    <t>B1F1 Vloerafbouw/vloerafwerking binnen</t>
  </si>
  <si>
    <t>B2A Technieken fluïda: vloeistof- en gasinstallaties</t>
  </si>
  <si>
    <t>B2B Technieken fluïda: klimaatinstallaties</t>
  </si>
  <si>
    <t>B2C Technieken fluïda: brandbestrijding</t>
  </si>
  <si>
    <t>B2D Technieken elektro: centrale voorzieningen</t>
  </si>
  <si>
    <t>B2E Technieken elektro: energievoorziening gebruikersaansluitingen en verlichting</t>
  </si>
  <si>
    <t>B2F Technieken elektro: communicatie en beveiliging</t>
  </si>
  <si>
    <t>B2G Transport</t>
  </si>
  <si>
    <t>B3(72) Vaste gebruikersvoorzieningen</t>
  </si>
  <si>
    <t>B4A Terrein Grondvoorzieningen</t>
  </si>
  <si>
    <t>B4B Terrein Opstallen (gebouwtjes, overkappingen enz.)</t>
  </si>
  <si>
    <t>B4C Terrein Omheining en afwerking</t>
  </si>
  <si>
    <t>B4D Technische installaties voor het terrein</t>
  </si>
  <si>
    <t>algemene funderingsplaat</t>
  </si>
  <si>
    <t>[S]#91_fundering</t>
  </si>
  <si>
    <t>supplement indien er een diepfundering nodig is</t>
  </si>
  <si>
    <t>standaard verdiepingshoogte</t>
  </si>
  <si>
    <t>dubbele verdiepingshoogte</t>
  </si>
  <si>
    <t>klassieke bitumeuze dakdichting</t>
  </si>
  <si>
    <t>supplement indien er een extensief groendak nodig is</t>
  </si>
  <si>
    <t>ref. kantoorprojecten</t>
  </si>
  <si>
    <t>opbraak + nieuwe asfalt + 50%</t>
  </si>
  <si>
    <t>[E]#2_terrein</t>
  </si>
  <si>
    <t>KKG/m² LA</t>
  </si>
  <si>
    <t>supplement indien er een verlaagd geïsoleerd buitenplafond nodig is</t>
  </si>
  <si>
    <t>buitenpleister op isolatie</t>
  </si>
  <si>
    <t>B2 Technische installaties</t>
  </si>
  <si>
    <t>B5 Algemene uitvoeringskosten</t>
  </si>
  <si>
    <t>KKG/m² external area</t>
  </si>
  <si>
    <t>% t.o.v. B1 t.e.m. B4</t>
  </si>
  <si>
    <t>incl. bij KKG - ter info t.b.v. verrekeningen nieuwe posten</t>
  </si>
  <si>
    <t>EA [m²]</t>
  </si>
  <si>
    <t>m² GFA,B + m² GFA,C</t>
  </si>
  <si>
    <t>verlichting</t>
  </si>
  <si>
    <t>€ / m²</t>
  </si>
  <si>
    <t>EA</t>
  </si>
  <si>
    <t>vloerplaat uitkraging boven verlaagd buitenplafond</t>
  </si>
  <si>
    <t>LA = GFA,A incl. risicoverrekeningen</t>
  </si>
  <si>
    <t>ref. twee stopplaatsen</t>
  </si>
  <si>
    <t>niet voorzien</t>
  </si>
  <si>
    <t>B3 Vaste inrichtingen</t>
  </si>
  <si>
    <t>inbegrepen in cluster C</t>
  </si>
  <si>
    <t>kitchenette</t>
  </si>
  <si>
    <t>B5A Diversen (detaillering in ontwerpfase)</t>
  </si>
  <si>
    <t>space aspect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</si>
</sst>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??_-;_-@_-"/>
    <numFmt numFmtId="166" formatCode="_-[$€-813]\ * #,##0_-;\-[$€-813]\ * #,##0_-;_-[$€-813]\ * &quot;-&quot;??_-;_-@_-"/>
    <numFmt numFmtId="167" formatCode="_ [$€-813]\ * #,##0.00_ ;_ [$€-813]\ * \-#,##0.00_ ;_ [$€-813]\ * &quot;-&quot;??_ ;_ @_ "/>
    <numFmt numFmtId="168" formatCode="_ [$€-813]\ * #,##0_ ;_ [$€-813]\ * \-#,##0_ ;_ [$€-813]\ * &quot;-&quot;??_ ;_ @_ "/>
    <numFmt numFmtId="169" formatCode="0.0%"/>
    <numFmt numFmtId="170" formatCode="_-* #,##0.0_-;\-* #,##0.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80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80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rgb="FF00008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rgb="FF00008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0" borderId="2" applyNumberFormat="0" applyFill="0" applyAlignment="0" applyProtection="0"/>
    <xf numFmtId="0" fontId="5" fillId="4" borderId="0" applyNumberFormat="0" applyBorder="0" applyAlignment="0" applyProtection="0"/>
    <xf numFmtId="0" fontId="1" fillId="5" borderId="3" applyNumberFormat="0" applyFont="0" applyAlignment="0" applyProtection="0"/>
    <xf numFmtId="0" fontId="5" fillId="6" borderId="0" applyNumberFormat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/>
    <xf numFmtId="0" fontId="2" fillId="2" borderId="1" xfId="2"/>
    <xf numFmtId="0" fontId="5" fillId="4" borderId="0" xfId="5"/>
    <xf numFmtId="0" fontId="3" fillId="3" borderId="1" xfId="3"/>
    <xf numFmtId="0" fontId="5" fillId="4" borderId="1" xfId="5" applyBorder="1" applyAlignment="1">
      <alignment vertical="top"/>
    </xf>
    <xf numFmtId="0" fontId="0" fillId="0" borderId="0" xfId="0" applyAlignment="1">
      <alignment vertical="top"/>
    </xf>
    <xf numFmtId="0" fontId="2" fillId="2" borderId="1" xfId="2" applyAlignment="1">
      <alignment vertical="top"/>
    </xf>
    <xf numFmtId="164" fontId="2" fillId="2" borderId="1" xfId="1" applyFont="1" applyFill="1" applyBorder="1" applyAlignment="1">
      <alignment vertical="top"/>
    </xf>
    <xf numFmtId="0" fontId="2" fillId="2" borderId="1" xfId="2" applyAlignment="1">
      <alignment vertical="top" wrapText="1"/>
    </xf>
    <xf numFmtId="165" fontId="5" fillId="4" borderId="1" xfId="5" applyNumberFormat="1" applyBorder="1" applyAlignment="1">
      <alignment vertical="top"/>
    </xf>
    <xf numFmtId="165" fontId="0" fillId="0" borderId="0" xfId="0" applyNumberFormat="1" applyAlignment="1">
      <alignment vertical="top"/>
    </xf>
    <xf numFmtId="164" fontId="3" fillId="3" borderId="1" xfId="1" applyFont="1" applyFill="1" applyBorder="1"/>
    <xf numFmtId="0" fontId="5" fillId="7" borderId="0" xfId="0" applyFont="1" applyFill="1" applyAlignment="1">
      <alignment vertical="top"/>
    </xf>
    <xf numFmtId="0" fontId="0" fillId="7" borderId="0" xfId="0" applyFill="1" applyAlignment="1">
      <alignment vertical="top"/>
    </xf>
    <xf numFmtId="0" fontId="11" fillId="8" borderId="0" xfId="0" applyFont="1" applyFill="1" applyAlignment="1">
      <alignment vertical="top"/>
    </xf>
    <xf numFmtId="0" fontId="0" fillId="8" borderId="0" xfId="0" applyFill="1" applyAlignment="1">
      <alignment vertical="top"/>
    </xf>
    <xf numFmtId="0" fontId="11" fillId="9" borderId="0" xfId="0" applyFont="1" applyFill="1" applyAlignment="1">
      <alignment vertical="top"/>
    </xf>
    <xf numFmtId="0" fontId="5" fillId="9" borderId="0" xfId="0" applyFont="1" applyFill="1" applyAlignment="1">
      <alignment vertical="top"/>
    </xf>
    <xf numFmtId="0" fontId="11" fillId="10" borderId="0" xfId="0" applyFont="1" applyFill="1" applyAlignment="1">
      <alignment vertical="top"/>
    </xf>
    <xf numFmtId="0" fontId="0" fillId="10" borderId="0" xfId="0" applyFill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7" borderId="0" xfId="0" applyFont="1" applyFill="1" applyAlignment="1">
      <alignment vertical="top" wrapText="1"/>
    </xf>
    <xf numFmtId="0" fontId="12" fillId="7" borderId="0" xfId="0" applyFont="1" applyFill="1" applyAlignment="1">
      <alignment vertical="top"/>
    </xf>
    <xf numFmtId="0" fontId="9" fillId="7" borderId="0" xfId="5" applyFont="1" applyFill="1" applyAlignment="1">
      <alignment horizontal="right" vertical="top"/>
    </xf>
    <xf numFmtId="166" fontId="3" fillId="3" borderId="1" xfId="3" applyNumberFormat="1" applyAlignment="1">
      <alignment vertical="top"/>
    </xf>
    <xf numFmtId="0" fontId="9" fillId="7" borderId="0" xfId="0" applyFont="1" applyFill="1" applyAlignment="1">
      <alignment vertical="top" wrapText="1"/>
    </xf>
    <xf numFmtId="0" fontId="9" fillId="11" borderId="0" xfId="0" applyFont="1" applyFill="1" applyAlignment="1">
      <alignment vertical="top"/>
    </xf>
    <xf numFmtId="0" fontId="9" fillId="12" borderId="0" xfId="0" applyFont="1" applyFill="1" applyAlignment="1">
      <alignment vertical="top"/>
    </xf>
    <xf numFmtId="0" fontId="5" fillId="7" borderId="0" xfId="7" applyFill="1" applyAlignment="1">
      <alignment vertical="top" wrapText="1"/>
    </xf>
    <xf numFmtId="166" fontId="5" fillId="7" borderId="0" xfId="7" applyNumberFormat="1" applyFill="1" applyAlignment="1">
      <alignment vertical="top" wrapText="1"/>
    </xf>
    <xf numFmtId="0" fontId="10" fillId="7" borderId="0" xfId="0" applyFont="1" applyFill="1" applyAlignment="1">
      <alignment vertical="top"/>
    </xf>
    <xf numFmtId="0" fontId="5" fillId="7" borderId="0" xfId="0" applyFont="1" applyFill="1" applyAlignment="1">
      <alignment vertical="top" wrapText="1"/>
    </xf>
    <xf numFmtId="166" fontId="0" fillId="7" borderId="0" xfId="0" applyNumberFormat="1" applyFill="1" applyAlignment="1">
      <alignment vertical="top"/>
    </xf>
    <xf numFmtId="0" fontId="11" fillId="8" borderId="0" xfId="0" applyFont="1" applyFill="1" applyAlignment="1">
      <alignment vertical="top" wrapText="1"/>
    </xf>
    <xf numFmtId="166" fontId="0" fillId="8" borderId="0" xfId="0" applyNumberFormat="1" applyFill="1" applyAlignment="1">
      <alignment vertical="top"/>
    </xf>
    <xf numFmtId="0" fontId="11" fillId="9" borderId="0" xfId="0" applyFont="1" applyFill="1" applyAlignment="1">
      <alignment vertical="top" wrapText="1"/>
    </xf>
    <xf numFmtId="166" fontId="2" fillId="2" borderId="1" xfId="2" applyNumberFormat="1" applyAlignment="1">
      <alignment vertical="top"/>
    </xf>
    <xf numFmtId="0" fontId="13" fillId="5" borderId="3" xfId="6" applyFont="1" applyAlignment="1">
      <alignment vertical="top"/>
    </xf>
    <xf numFmtId="0" fontId="15" fillId="7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5" fillId="12" borderId="0" xfId="0" applyFont="1" applyFill="1"/>
    <xf numFmtId="167" fontId="2" fillId="2" borderId="1" xfId="1" applyNumberFormat="1" applyFont="1" applyFill="1" applyBorder="1"/>
    <xf numFmtId="167" fontId="11" fillId="8" borderId="0" xfId="0" applyNumberFormat="1" applyFont="1" applyFill="1" applyAlignment="1">
      <alignment vertical="top" wrapText="1"/>
    </xf>
    <xf numFmtId="0" fontId="5" fillId="12" borderId="0" xfId="0" applyFont="1" applyFill="1" applyAlignment="1">
      <alignment horizontal="center"/>
    </xf>
    <xf numFmtId="0" fontId="5" fillId="4" borderId="0" xfId="5" applyAlignment="1">
      <alignment horizontal="right"/>
    </xf>
    <xf numFmtId="167" fontId="4" fillId="2" borderId="2" xfId="4" applyNumberFormat="1" applyFill="1" applyAlignment="1">
      <alignment wrapText="1"/>
    </xf>
    <xf numFmtId="167" fontId="2" fillId="2" borderId="1" xfId="2" applyNumberFormat="1"/>
    <xf numFmtId="168" fontId="3" fillId="3" borderId="1" xfId="1" applyNumberFormat="1" applyFont="1" applyFill="1" applyBorder="1"/>
    <xf numFmtId="165" fontId="3" fillId="3" borderId="1" xfId="1" applyNumberFormat="1" applyFont="1" applyFill="1" applyBorder="1"/>
    <xf numFmtId="168" fontId="5" fillId="4" borderId="0" xfId="5" applyNumberFormat="1"/>
    <xf numFmtId="168" fontId="0" fillId="0" borderId="0" xfId="0" applyNumberFormat="1"/>
    <xf numFmtId="0" fontId="4" fillId="2" borderId="2" xfId="4" applyFill="1"/>
    <xf numFmtId="165" fontId="5" fillId="4" borderId="0" xfId="5" applyNumberFormat="1"/>
    <xf numFmtId="0" fontId="5" fillId="4" borderId="0" xfId="5" applyBorder="1"/>
    <xf numFmtId="0" fontId="17" fillId="2" borderId="1" xfId="2" applyFont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3" fillId="8" borderId="0" xfId="0" applyFont="1" applyFill="1" applyAlignment="1">
      <alignment vertical="top"/>
    </xf>
    <xf numFmtId="0" fontId="13" fillId="7" borderId="0" xfId="0" applyFont="1" applyFill="1" applyAlignment="1">
      <alignment vertical="top"/>
    </xf>
    <xf numFmtId="0" fontId="5" fillId="4" borderId="1" xfId="5" applyBorder="1" applyAlignment="1">
      <alignment horizontal="right" vertical="top" wrapText="1"/>
    </xf>
    <xf numFmtId="0" fontId="5" fillId="4" borderId="1" xfId="5" applyBorder="1" applyAlignment="1">
      <alignment vertical="top" wrapText="1"/>
    </xf>
    <xf numFmtId="164" fontId="0" fillId="7" borderId="0" xfId="1" applyFont="1" applyFill="1" applyAlignment="1">
      <alignment vertical="top"/>
    </xf>
    <xf numFmtId="164" fontId="0" fillId="8" borderId="0" xfId="1" applyFont="1" applyFill="1" applyAlignment="1">
      <alignment vertical="top"/>
    </xf>
    <xf numFmtId="164" fontId="5" fillId="9" borderId="0" xfId="1" applyFont="1" applyFill="1" applyAlignment="1">
      <alignment vertical="top"/>
    </xf>
    <xf numFmtId="164" fontId="0" fillId="10" borderId="0" xfId="1" applyFont="1" applyFill="1" applyAlignment="1">
      <alignment vertical="top"/>
    </xf>
    <xf numFmtId="164" fontId="0" fillId="0" borderId="0" xfId="1" applyFont="1" applyAlignment="1">
      <alignment vertical="top"/>
    </xf>
    <xf numFmtId="164" fontId="12" fillId="0" borderId="0" xfId="1" applyFont="1" applyAlignment="1">
      <alignment vertical="top"/>
    </xf>
    <xf numFmtId="164" fontId="5" fillId="7" borderId="0" xfId="1" applyFont="1" applyFill="1" applyAlignment="1">
      <alignment vertical="top" wrapText="1"/>
    </xf>
    <xf numFmtId="169" fontId="3" fillId="3" borderId="1" xfId="8" applyNumberFormat="1" applyFont="1" applyFill="1" applyBorder="1"/>
    <xf numFmtId="170" fontId="3" fillId="3" borderId="1" xfId="1" applyNumberFormat="1" applyFont="1" applyFill="1" applyBorder="1" applyAlignment="1">
      <alignment vertical="top"/>
    </xf>
    <xf numFmtId="170" fontId="5" fillId="4" borderId="1" xfId="5" applyNumberFormat="1" applyBorder="1" applyAlignment="1">
      <alignment vertical="top"/>
    </xf>
    <xf numFmtId="170" fontId="2" fillId="2" borderId="1" xfId="1" applyNumberFormat="1" applyFont="1" applyFill="1" applyBorder="1" applyAlignment="1">
      <alignment vertical="top"/>
    </xf>
    <xf numFmtId="170" fontId="3" fillId="3" borderId="1" xfId="3" applyNumberFormat="1" applyAlignment="1">
      <alignment vertical="top"/>
    </xf>
    <xf numFmtId="170" fontId="4" fillId="2" borderId="2" xfId="4" applyNumberFormat="1" applyFill="1" applyAlignment="1">
      <alignment vertical="top"/>
    </xf>
    <xf numFmtId="164" fontId="4" fillId="2" borderId="2" xfId="4" applyNumberFormat="1" applyFill="1" applyAlignment="1">
      <alignment vertical="top"/>
    </xf>
    <xf numFmtId="164" fontId="4" fillId="8" borderId="2" xfId="4" applyNumberFormat="1" applyFill="1" applyAlignment="1">
      <alignment vertical="top"/>
    </xf>
    <xf numFmtId="166" fontId="4" fillId="2" borderId="2" xfId="4" applyNumberFormat="1" applyFill="1" applyAlignment="1">
      <alignment vertical="top"/>
    </xf>
    <xf numFmtId="164" fontId="4" fillId="7" borderId="2" xfId="4" applyNumberFormat="1" applyFill="1" applyAlignment="1">
      <alignment vertical="top"/>
    </xf>
    <xf numFmtId="168" fontId="3" fillId="3" borderId="1" xfId="3" applyNumberFormat="1" applyAlignment="1">
      <alignment vertical="top" wrapText="1"/>
    </xf>
    <xf numFmtId="169" fontId="3" fillId="3" borderId="1" xfId="8" applyNumberFormat="1" applyFont="1" applyFill="1" applyBorder="1" applyAlignment="1">
      <alignment vertical="top" wrapText="1"/>
    </xf>
    <xf numFmtId="10" fontId="2" fillId="2" borderId="1" xfId="8" applyNumberFormat="1" applyFont="1" applyFill="1" applyBorder="1" applyAlignment="1">
      <alignment vertical="top"/>
    </xf>
    <xf numFmtId="10" fontId="4" fillId="2" borderId="2" xfId="8" applyNumberFormat="1" applyFont="1" applyFill="1" applyBorder="1" applyAlignment="1">
      <alignment vertical="top"/>
    </xf>
    <xf numFmtId="0" fontId="11" fillId="9" borderId="0" xfId="0" applyFont="1" applyFill="1" applyAlignment="1">
      <alignment horizontal="center" vertical="top" wrapText="1"/>
    </xf>
  </cellXfs>
  <cellStyles count="9">
    <cellStyle name="Accent1" xfId="5" builtinId="29"/>
    <cellStyle name="Accent3" xfId="7" builtinId="37"/>
    <cellStyle name="Berekening" xfId="3" builtinId="22"/>
    <cellStyle name="Gekoppelde cel" xfId="4" builtinId="24"/>
    <cellStyle name="Invoer" xfId="2" builtinId="20"/>
    <cellStyle name="Komma" xfId="1" builtinId="3"/>
    <cellStyle name="Notitie" xfId="6" builtinId="10"/>
    <cellStyle name="Procent" xfId="8" builtinId="5"/>
    <cellStyle name="Standaard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3530321</xdr:colOff>
      <xdr:row>13</xdr:row>
      <xdr:rowOff>69348</xdr:rowOff>
    </xdr:from>
    <xdr:ext cx="8541314" cy="937629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5628105D-3156-48FB-BEAD-0865B185A4EC}"/>
            </a:ext>
          </a:extLst>
        </xdr:cNvPr>
        <xdr:cNvSpPr/>
      </xdr:nvSpPr>
      <xdr:spPr>
        <a:xfrm rot="20267166">
          <a:off x="3530321" y="2622048"/>
          <a:ext cx="854131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l-NL" sz="5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vervangen door KKG per zone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9E61-8767-4BFA-B67B-2612EC9169A2}">
  <sheetPr>
    <pageSetUpPr fitToPage="1"/>
  </sheetPr>
  <dimension ref="A1:M8"/>
  <sheetViews>
    <sheetView workbookViewId="0">
      <selection activeCell="C14" sqref="C14"/>
    </sheetView>
  </sheetViews>
  <sheetFormatPr defaultRowHeight="14.4" outlineLevelCol="1" x14ac:dyDescent="0.3"/>
  <cols>
    <col min="1" max="1" width="16.88671875" customWidth="1" outlineLevel="1"/>
    <col min="2" max="2" width="22" customWidth="1" outlineLevel="1"/>
    <col min="3" max="3" width="30.109375" customWidth="1"/>
    <col min="4" max="5" width="10.44140625" bestFit="1" customWidth="1"/>
    <col min="6" max="6" width="10.44140625" customWidth="1"/>
    <col min="7" max="7" width="13.6640625" customWidth="1"/>
    <col min="8" max="8" width="14" customWidth="1"/>
    <col min="9" max="10" width="13.44140625" customWidth="1"/>
    <col min="11" max="11" width="17.109375" customWidth="1"/>
    <col min="12" max="12" width="12.109375" customWidth="1"/>
    <col min="13" max="13" width="32.44140625" bestFit="1" customWidth="1"/>
  </cols>
  <sheetData>
    <row r="1" spans="1:13" x14ac:dyDescent="0.3">
      <c r="A1" s="3" t="s">
        <v>302</v>
      </c>
      <c r="B1" s="2" t="s">
        <v>3</v>
      </c>
      <c r="C1" s="3"/>
      <c r="D1" s="3"/>
      <c r="E1" s="3"/>
      <c r="F1" s="3"/>
      <c r="G1" s="3"/>
      <c r="H1" s="3"/>
      <c r="I1" s="46"/>
      <c r="J1" s="46" t="s">
        <v>30</v>
      </c>
      <c r="K1" s="50">
        <f>SUBTOTAL(9,K2:K57)</f>
        <v>1520120.9785</v>
      </c>
      <c r="L1" s="3"/>
      <c r="M1" s="3"/>
    </row>
    <row r="2" spans="1:13" x14ac:dyDescent="0.3">
      <c r="A2" s="3" t="s">
        <v>0</v>
      </c>
      <c r="B2" s="3" t="s">
        <v>1</v>
      </c>
      <c r="C2" s="3" t="s">
        <v>2</v>
      </c>
      <c r="D2" s="3" t="s">
        <v>17</v>
      </c>
      <c r="E2" s="3" t="s">
        <v>18</v>
      </c>
      <c r="F2" s="3" t="s">
        <v>153</v>
      </c>
      <c r="G2" s="3" t="s">
        <v>22</v>
      </c>
      <c r="H2" s="3" t="s">
        <v>23</v>
      </c>
      <c r="I2" s="3" t="s">
        <v>24</v>
      </c>
      <c r="J2" s="3" t="s">
        <v>289</v>
      </c>
      <c r="K2" s="3" t="s">
        <v>170</v>
      </c>
      <c r="L2" s="46" t="s">
        <v>292</v>
      </c>
      <c r="M2" s="3"/>
    </row>
    <row r="3" spans="1:13" x14ac:dyDescent="0.3">
      <c r="A3" s="2" t="s">
        <v>31</v>
      </c>
      <c r="B3" s="2" t="s">
        <v>229</v>
      </c>
      <c r="C3" s="4" t="str">
        <f>CONCATENATE(A3,"_",B3)</f>
        <v>[E]#1_gebouw</v>
      </c>
      <c r="D3" s="50">
        <f>SUMIFS(opmeting_LA,opmeting_entity,$C3)</f>
        <v>408.5</v>
      </c>
      <c r="E3" s="50">
        <f>SUMIFS(opmeting_NLA,opmeting_entity,$C3)</f>
        <v>0</v>
      </c>
      <c r="F3" s="50">
        <f>SUM(G3:I3)</f>
        <v>408.5</v>
      </c>
      <c r="G3" s="50">
        <f>SUMIFS(opmeting_GFAA,opmeting_entity,$C3)</f>
        <v>408.5</v>
      </c>
      <c r="H3" s="50">
        <f>SUMIFS(opmeting_GFAB,opmeting_entity,$C3)</f>
        <v>0</v>
      </c>
      <c r="I3" s="50">
        <f>SUMIFS(opmeting_GFAC,opmeting_entity,$C3)</f>
        <v>0</v>
      </c>
      <c r="J3" s="50" cm="1">
        <f t="array" ref="J3">SUMIFS(opmeting_EA,opmeting_entity,$C3)</f>
        <v>0</v>
      </c>
      <c r="K3" s="50">
        <f>SUMIF(raming_entity,$C3,raming_subtotaal)</f>
        <v>1478458.0225</v>
      </c>
      <c r="L3" s="49">
        <f>IF(G3=0,0,K3/G3)</f>
        <v>3619.2362851897183</v>
      </c>
      <c r="M3" s="2" t="s">
        <v>295</v>
      </c>
    </row>
    <row r="4" spans="1:13" x14ac:dyDescent="0.3">
      <c r="A4" s="2" t="s">
        <v>32</v>
      </c>
      <c r="B4" s="2" t="s">
        <v>230</v>
      </c>
      <c r="C4" s="4" t="str">
        <f t="shared" ref="C4:C7" si="0">CONCATENATE(A4,"_",B4)</f>
        <v>[E]#2_terrein</v>
      </c>
      <c r="D4" s="50">
        <f>SUMIFS(opmeting_LA,opmeting_entity,$C4)</f>
        <v>0</v>
      </c>
      <c r="E4" s="50">
        <f>SUMIFS(opmeting_NLA,opmeting_entity,$C4)</f>
        <v>0</v>
      </c>
      <c r="F4" s="50">
        <f t="shared" ref="F4:F6" si="1">SUM(G4:I4)</f>
        <v>0</v>
      </c>
      <c r="G4" s="50">
        <f>SUMIFS(opmeting_GFAA,opmeting_entity,$C4)</f>
        <v>0</v>
      </c>
      <c r="H4" s="50">
        <f>SUMIFS(opmeting_GFAB,opmeting_entity,$C4)</f>
        <v>0</v>
      </c>
      <c r="I4" s="50">
        <f>SUMIFS(opmeting_GFAC,opmeting_entity,$C4)</f>
        <v>0</v>
      </c>
      <c r="J4" s="50" cm="1">
        <f t="array" ref="J4">SUMIFS(opmeting_EA,opmeting_entity,$C4)</f>
        <v>336.1</v>
      </c>
      <c r="K4" s="50">
        <f t="shared" ref="K4:K7" si="2">SUMIF(raming_entity,$C4,raming_subtotaal)</f>
        <v>41662.955999999998</v>
      </c>
      <c r="L4" s="49">
        <f>IF(J4=0,0,K4/J4)</f>
        <v>123.95999999999998</v>
      </c>
      <c r="M4" s="2" t="s">
        <v>293</v>
      </c>
    </row>
    <row r="5" spans="1:13" x14ac:dyDescent="0.3">
      <c r="A5" s="2" t="s">
        <v>182</v>
      </c>
      <c r="B5" s="2" t="s">
        <v>181</v>
      </c>
      <c r="C5" s="4" t="str">
        <f t="shared" si="0"/>
        <v>[E]#3_&lt;xxx&gt;</v>
      </c>
      <c r="D5" s="50">
        <f>SUMIFS(opmeting_LA,opmeting_entity,$C5)</f>
        <v>0</v>
      </c>
      <c r="E5" s="50">
        <f>SUMIFS(opmeting_NLA,opmeting_entity,$C5)</f>
        <v>0</v>
      </c>
      <c r="F5" s="50">
        <f t="shared" si="1"/>
        <v>0</v>
      </c>
      <c r="G5" s="50">
        <f>SUMIFS(opmeting_GFAA,opmeting_entity,$C5)</f>
        <v>0</v>
      </c>
      <c r="H5" s="50">
        <f>SUMIFS(opmeting_GFAB,opmeting_entity,$C5)</f>
        <v>0</v>
      </c>
      <c r="I5" s="50">
        <f>SUMIFS(opmeting_GFAC,opmeting_entity,$C5)</f>
        <v>0</v>
      </c>
      <c r="J5" s="50" cm="1">
        <f t="array" ref="J5">SUMIFS(opmeting_EA,opmeting_entity,$C5)</f>
        <v>0</v>
      </c>
      <c r="K5" s="50">
        <f t="shared" si="2"/>
        <v>0</v>
      </c>
      <c r="L5" s="49">
        <f>IF(G5=0,0,K5/G5)</f>
        <v>0</v>
      </c>
      <c r="M5" s="2"/>
    </row>
    <row r="6" spans="1:13" x14ac:dyDescent="0.3">
      <c r="A6" s="2"/>
      <c r="B6" s="2"/>
      <c r="C6" s="4" t="str">
        <f t="shared" si="0"/>
        <v>_</v>
      </c>
      <c r="D6" s="50">
        <f>SUMIFS(opmeting_LA,opmeting_entity,$C6)</f>
        <v>0</v>
      </c>
      <c r="E6" s="50">
        <f>SUMIFS(opmeting_NLA,opmeting_entity,$C6)</f>
        <v>0</v>
      </c>
      <c r="F6" s="50">
        <f t="shared" si="1"/>
        <v>0</v>
      </c>
      <c r="G6" s="50">
        <f>SUMIFS(opmeting_GFAA,opmeting_entity,$C6)</f>
        <v>0</v>
      </c>
      <c r="H6" s="50">
        <f>SUMIFS(opmeting_GFAB,opmeting_entity,$C6)</f>
        <v>0</v>
      </c>
      <c r="I6" s="50">
        <f>SUMIFS(opmeting_GFAC,opmeting_entity,$C6)</f>
        <v>0</v>
      </c>
      <c r="J6" s="50" cm="1">
        <f t="array" ref="J6">SUMIFS(opmeting_EA,opmeting_entity,$C6)</f>
        <v>0</v>
      </c>
      <c r="K6" s="50">
        <f t="shared" si="2"/>
        <v>0</v>
      </c>
      <c r="L6" s="49">
        <f>IF(G6=0,0,K6/G6)</f>
        <v>0</v>
      </c>
      <c r="M6" s="2"/>
    </row>
    <row r="7" spans="1:13" x14ac:dyDescent="0.3">
      <c r="A7" s="2" t="s">
        <v>150</v>
      </c>
      <c r="B7" s="2" t="s">
        <v>151</v>
      </c>
      <c r="C7" s="4" t="str">
        <f t="shared" si="0"/>
        <v>[E]_multiple entities</v>
      </c>
      <c r="D7" s="3"/>
      <c r="E7" s="3"/>
      <c r="F7" s="3"/>
      <c r="G7" s="3"/>
      <c r="H7" s="3"/>
      <c r="I7" s="3"/>
      <c r="J7" s="3"/>
      <c r="K7" s="50">
        <f t="shared" si="2"/>
        <v>0</v>
      </c>
      <c r="L7" s="49">
        <f>IF(SUM(G3:G6)=0,0,K7/SUM(G3:G6))</f>
        <v>0</v>
      </c>
      <c r="M7" s="2"/>
    </row>
    <row r="8" spans="1:13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</sheetData>
  <autoFilter ref="A2:K8" xr:uid="{42EA9E61-8767-4BFA-B67B-2612EC9169A2}"/>
  <phoneticPr fontId="7" type="noConversion"/>
  <pageMargins left="0.70866141732283472" right="0.70866141732283472" top="1.1417322834645669" bottom="0.74803149606299213" header="0.31496062992125984" footer="0.31496062992125984"/>
  <pageSetup paperSize="9" scale="74" orientation="landscape" r:id="rId1"/>
  <headerFooter>
    <oddHeader>&amp;L&amp;G&amp;R&amp;F - &amp;A
p.&amp;P van &amp;N
afdruk dd.&amp;D</oddHeader>
    <oddFooter>&amp;LAll rights reserved by PB calc &amp; consult BV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F0C7-F33E-4F8C-81C3-754E2C0D535F}">
  <sheetPr>
    <pageSetUpPr fitToPage="1"/>
  </sheetPr>
  <dimension ref="A1:D8"/>
  <sheetViews>
    <sheetView workbookViewId="0"/>
  </sheetViews>
  <sheetFormatPr defaultRowHeight="14.4" x14ac:dyDescent="0.3"/>
  <cols>
    <col min="1" max="1" width="16.88671875" bestFit="1" customWidth="1"/>
    <col min="2" max="2" width="36.5546875" customWidth="1"/>
    <col min="3" max="3" width="37.109375" bestFit="1" customWidth="1"/>
    <col min="4" max="4" width="19.5546875" customWidth="1"/>
  </cols>
  <sheetData>
    <row r="1" spans="1:4" x14ac:dyDescent="0.3">
      <c r="A1" s="3" t="s">
        <v>302</v>
      </c>
      <c r="B1" s="2" t="s">
        <v>222</v>
      </c>
      <c r="C1" s="46" t="s">
        <v>30</v>
      </c>
      <c r="D1" s="50">
        <f>SUBTOTAL(9,D2:D58)</f>
        <v>1520120.9785</v>
      </c>
    </row>
    <row r="2" spans="1:4" x14ac:dyDescent="0.3">
      <c r="A2" s="3" t="s">
        <v>0</v>
      </c>
      <c r="B2" s="3" t="s">
        <v>1</v>
      </c>
      <c r="C2" s="3" t="s">
        <v>2</v>
      </c>
      <c r="D2" s="54" t="s">
        <v>170</v>
      </c>
    </row>
    <row r="3" spans="1:4" x14ac:dyDescent="0.3">
      <c r="A3" s="2" t="s">
        <v>171</v>
      </c>
      <c r="B3" s="2" t="s">
        <v>239</v>
      </c>
      <c r="C3" s="4" t="str">
        <f>CONCATENATE(A3,"_",B3)</f>
        <v>[P]#01_geen subprojects</v>
      </c>
      <c r="D3" s="50">
        <f t="shared" ref="D3:D7" si="0">SUMIF(raming_subproject,$C3,raming_subtotaal)</f>
        <v>1520120.9785</v>
      </c>
    </row>
    <row r="4" spans="1:4" x14ac:dyDescent="0.3">
      <c r="A4" s="2" t="s">
        <v>172</v>
      </c>
      <c r="B4" s="2" t="s">
        <v>181</v>
      </c>
      <c r="C4" s="4" t="str">
        <f t="shared" ref="C4:C7" si="1">CONCATENATE(A4,"_",B4)</f>
        <v>[P]#02_&lt;xxx&gt;</v>
      </c>
      <c r="D4" s="50">
        <f t="shared" si="0"/>
        <v>0</v>
      </c>
    </row>
    <row r="5" spans="1:4" x14ac:dyDescent="0.3">
      <c r="A5" s="2" t="s">
        <v>173</v>
      </c>
      <c r="B5" s="2" t="s">
        <v>181</v>
      </c>
      <c r="C5" s="4" t="str">
        <f t="shared" si="1"/>
        <v>[P]#03_&lt;xxx&gt;</v>
      </c>
      <c r="D5" s="50">
        <f t="shared" si="0"/>
        <v>0</v>
      </c>
    </row>
    <row r="6" spans="1:4" x14ac:dyDescent="0.3">
      <c r="A6" s="2"/>
      <c r="B6" s="2"/>
      <c r="C6" s="4" t="str">
        <f t="shared" ref="C6" si="2">CONCATENATE(A6,"_",B6)</f>
        <v>_</v>
      </c>
      <c r="D6" s="50">
        <f t="shared" si="0"/>
        <v>0</v>
      </c>
    </row>
    <row r="7" spans="1:4" x14ac:dyDescent="0.3">
      <c r="A7" s="2" t="s">
        <v>152</v>
      </c>
      <c r="B7" s="2" t="s">
        <v>227</v>
      </c>
      <c r="C7" s="4" t="str">
        <f t="shared" si="1"/>
        <v>[P]_multiple subprojects</v>
      </c>
      <c r="D7" s="50">
        <f t="shared" si="0"/>
        <v>0</v>
      </c>
    </row>
    <row r="8" spans="1:4" x14ac:dyDescent="0.3">
      <c r="A8" s="3"/>
      <c r="B8" s="3"/>
      <c r="C8" s="3"/>
      <c r="D8" s="3"/>
    </row>
  </sheetData>
  <autoFilter ref="A2:D8" xr:uid="{3071F0C7-F33E-4F8C-81C3-754E2C0D535F}"/>
  <phoneticPr fontId="7" type="noConversion"/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p.&amp;P van &amp;N
afdruk dd.&amp;D</oddHeader>
    <oddFooter>&amp;LAll rights reserved by PB calc &amp; consult BV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621F-6220-48A5-BAE7-4E618BF4629E}">
  <sheetPr>
    <pageSetUpPr fitToPage="1"/>
  </sheetPr>
  <dimension ref="A1:L24"/>
  <sheetViews>
    <sheetView zoomScaleNormal="100" workbookViewId="0"/>
  </sheetViews>
  <sheetFormatPr defaultRowHeight="14.4" x14ac:dyDescent="0.3"/>
  <cols>
    <col min="1" max="1" width="16.88671875" bestFit="1" customWidth="1"/>
    <col min="2" max="2" width="20.44140625" customWidth="1"/>
    <col min="3" max="5" width="35" customWidth="1"/>
    <col min="6" max="6" width="12.5546875" bestFit="1" customWidth="1"/>
    <col min="7" max="7" width="11.6640625" customWidth="1"/>
    <col min="8" max="8" width="11.44140625" bestFit="1" customWidth="1"/>
    <col min="9" max="9" width="13.33203125" bestFit="1" customWidth="1"/>
    <col min="10" max="11" width="14.33203125" bestFit="1" customWidth="1"/>
    <col min="12" max="12" width="18.33203125" customWidth="1"/>
  </cols>
  <sheetData>
    <row r="1" spans="1:12" x14ac:dyDescent="0.3">
      <c r="A1" s="3" t="s">
        <v>302</v>
      </c>
      <c r="B1" s="2" t="s">
        <v>4</v>
      </c>
      <c r="C1" s="3"/>
      <c r="D1" s="46"/>
      <c r="E1" s="46" t="s">
        <v>30</v>
      </c>
      <c r="F1" s="50">
        <f t="shared" ref="F1:K1" si="0">SUBTOTAL(9,F3:F72)</f>
        <v>408.5</v>
      </c>
      <c r="G1" s="50">
        <f t="shared" si="0"/>
        <v>0</v>
      </c>
      <c r="H1" s="50">
        <f t="shared" si="0"/>
        <v>408.5</v>
      </c>
      <c r="I1" s="50">
        <f t="shared" si="0"/>
        <v>408.5</v>
      </c>
      <c r="J1" s="50">
        <f t="shared" si="0"/>
        <v>0</v>
      </c>
      <c r="K1" s="50">
        <f t="shared" si="0"/>
        <v>0</v>
      </c>
      <c r="L1" s="50">
        <f t="shared" ref="L1" si="1">SUBTOTAL(9,L3:L72)</f>
        <v>1520120.9785</v>
      </c>
    </row>
    <row r="2" spans="1:12" x14ac:dyDescent="0.3">
      <c r="A2" s="3"/>
      <c r="B2" s="3"/>
      <c r="C2" s="3"/>
      <c r="D2" s="3"/>
      <c r="E2" s="3"/>
      <c r="F2" s="54"/>
      <c r="G2" s="54"/>
      <c r="H2" s="54"/>
      <c r="I2" s="70">
        <f>IF($H$1=0,0,I1/$H$1)</f>
        <v>1</v>
      </c>
      <c r="J2" s="70">
        <f t="shared" ref="J2:K2" si="2">IF($H$1=0,0,J1/$H$1)</f>
        <v>0</v>
      </c>
      <c r="K2" s="70">
        <f t="shared" si="2"/>
        <v>0</v>
      </c>
      <c r="L2" s="54"/>
    </row>
    <row r="3" spans="1:12" x14ac:dyDescent="0.3">
      <c r="A3" s="3" t="s">
        <v>0</v>
      </c>
      <c r="B3" s="3" t="s">
        <v>1</v>
      </c>
      <c r="C3" s="3" t="s">
        <v>2</v>
      </c>
      <c r="D3" s="3" t="s">
        <v>177</v>
      </c>
      <c r="E3" s="3" t="s">
        <v>226</v>
      </c>
      <c r="F3" s="54" t="s">
        <v>17</v>
      </c>
      <c r="G3" s="54" t="s">
        <v>18</v>
      </c>
      <c r="H3" s="54" t="s">
        <v>153</v>
      </c>
      <c r="I3" s="54" t="s">
        <v>22</v>
      </c>
      <c r="J3" s="54" t="s">
        <v>23</v>
      </c>
      <c r="K3" s="54" t="s">
        <v>24</v>
      </c>
      <c r="L3" s="54" t="s">
        <v>170</v>
      </c>
    </row>
    <row r="4" spans="1:12" x14ac:dyDescent="0.3">
      <c r="A4" s="2" t="s">
        <v>183</v>
      </c>
      <c r="B4" s="2" t="s">
        <v>181</v>
      </c>
      <c r="C4" s="4" t="str">
        <f>CONCATENATE(A4,"_",B4)</f>
        <v>[S]#93_&lt;xxx&gt;</v>
      </c>
      <c r="D4" s="2"/>
      <c r="E4" s="2"/>
      <c r="F4" s="50">
        <f t="shared" ref="F4:F19" si="3">SUMIFS(opmeting_LA,opmeting_subproject,$E4,opmeting_entity,$D4,opmeting_storey,$C4)</f>
        <v>0</v>
      </c>
      <c r="G4" s="50">
        <f t="shared" ref="G4:G19" si="4">SUMIFS(opmeting_NLA,opmeting_subproject,$E4,opmeting_entity,$D4,opmeting_storey,$C4)</f>
        <v>0</v>
      </c>
      <c r="H4" s="50">
        <f>SUM(I4:K4)</f>
        <v>0</v>
      </c>
      <c r="I4" s="50">
        <f t="shared" ref="I4:I19" si="5">SUMIFS(opmeting_GFAA,opmeting_subproject,$E4,opmeting_entity,$D4,opmeting_storey,$C4)</f>
        <v>0</v>
      </c>
      <c r="J4" s="50">
        <f t="shared" ref="J4:J19" si="6">SUMIFS(opmeting_GFAB,opmeting_subproject,$E4,opmeting_entity,$D4,opmeting_storey,$C4)</f>
        <v>0</v>
      </c>
      <c r="K4" s="50">
        <f t="shared" ref="K4:K19" si="7">SUMIFS(opmeting_GFAC,opmeting_subproject,$E4,opmeting_entity,$D4,opmeting_storey,$C4)</f>
        <v>0</v>
      </c>
      <c r="L4" s="50">
        <f t="shared" ref="L4:L23" si="8">SUMIFS(raming_subtotaal,raming_storey,C4,raming_entity,D4,raming_subproject,E4)</f>
        <v>0</v>
      </c>
    </row>
    <row r="5" spans="1:12" x14ac:dyDescent="0.3">
      <c r="A5" s="2" t="s">
        <v>184</v>
      </c>
      <c r="B5" s="2" t="s">
        <v>181</v>
      </c>
      <c r="C5" s="4" t="str">
        <f>CONCATENATE(A5,"_",B5)</f>
        <v>[S]#92_&lt;xxx&gt;</v>
      </c>
      <c r="D5" s="2"/>
      <c r="E5" s="2"/>
      <c r="F5" s="50">
        <f t="shared" si="3"/>
        <v>0</v>
      </c>
      <c r="G5" s="50">
        <f t="shared" si="4"/>
        <v>0</v>
      </c>
      <c r="H5" s="50">
        <f>SUM(I5:K5)</f>
        <v>0</v>
      </c>
      <c r="I5" s="50">
        <f t="shared" si="5"/>
        <v>0</v>
      </c>
      <c r="J5" s="50">
        <f t="shared" si="6"/>
        <v>0</v>
      </c>
      <c r="K5" s="50">
        <f t="shared" si="7"/>
        <v>0</v>
      </c>
      <c r="L5" s="50">
        <f t="shared" si="8"/>
        <v>0</v>
      </c>
    </row>
    <row r="6" spans="1:12" x14ac:dyDescent="0.3">
      <c r="A6" s="2" t="s">
        <v>5</v>
      </c>
      <c r="B6" s="2" t="s">
        <v>231</v>
      </c>
      <c r="C6" s="4" t="str">
        <f t="shared" ref="C6:C20" si="9">CONCATENATE(A6,"_",B6)</f>
        <v>[S]#91_fundering</v>
      </c>
      <c r="D6" s="2" t="s">
        <v>235</v>
      </c>
      <c r="E6" s="2" t="s">
        <v>241</v>
      </c>
      <c r="F6" s="50">
        <f t="shared" si="3"/>
        <v>0</v>
      </c>
      <c r="G6" s="50">
        <f t="shared" si="4"/>
        <v>0</v>
      </c>
      <c r="H6" s="50">
        <f t="shared" ref="H6:H19" si="10">SUM(I6:K6)</f>
        <v>0</v>
      </c>
      <c r="I6" s="50">
        <f t="shared" si="5"/>
        <v>0</v>
      </c>
      <c r="J6" s="50">
        <f t="shared" si="6"/>
        <v>0</v>
      </c>
      <c r="K6" s="50">
        <f t="shared" si="7"/>
        <v>0</v>
      </c>
      <c r="L6" s="50">
        <f t="shared" si="8"/>
        <v>72454.5</v>
      </c>
    </row>
    <row r="7" spans="1:12" x14ac:dyDescent="0.3">
      <c r="A7" s="2" t="s">
        <v>221</v>
      </c>
      <c r="B7" s="2" t="s">
        <v>232</v>
      </c>
      <c r="C7" s="4" t="str">
        <f t="shared" ref="C7" si="11">CONCATENATE(A7,"_",B7)</f>
        <v>[S]#00_gelijkvloers</v>
      </c>
      <c r="D7" s="2" t="s">
        <v>235</v>
      </c>
      <c r="E7" s="2" t="s">
        <v>241</v>
      </c>
      <c r="F7" s="50">
        <f t="shared" si="3"/>
        <v>178.9</v>
      </c>
      <c r="G7" s="50">
        <f t="shared" si="4"/>
        <v>0</v>
      </c>
      <c r="H7" s="50">
        <f t="shared" ref="H7" si="12">SUM(I7:K7)</f>
        <v>178.9</v>
      </c>
      <c r="I7" s="50">
        <f t="shared" si="5"/>
        <v>178.9</v>
      </c>
      <c r="J7" s="50">
        <f t="shared" si="6"/>
        <v>0</v>
      </c>
      <c r="K7" s="50">
        <f t="shared" si="7"/>
        <v>0</v>
      </c>
      <c r="L7" s="50">
        <f t="shared" si="8"/>
        <v>496781.5</v>
      </c>
    </row>
    <row r="8" spans="1:12" x14ac:dyDescent="0.3">
      <c r="A8" s="2" t="s">
        <v>221</v>
      </c>
      <c r="B8" s="2" t="s">
        <v>232</v>
      </c>
      <c r="C8" s="4" t="str">
        <f t="shared" ref="C8" si="13">CONCATENATE(A8,"_",B8)</f>
        <v>[S]#00_gelijkvloers</v>
      </c>
      <c r="D8" s="2" t="s">
        <v>280</v>
      </c>
      <c r="E8" s="2" t="s">
        <v>241</v>
      </c>
      <c r="F8" s="50">
        <f t="shared" si="3"/>
        <v>0</v>
      </c>
      <c r="G8" s="50">
        <f t="shared" si="4"/>
        <v>0</v>
      </c>
      <c r="H8" s="50">
        <f t="shared" ref="H8" si="14">SUM(I8:K8)</f>
        <v>0</v>
      </c>
      <c r="I8" s="50">
        <f t="shared" si="5"/>
        <v>0</v>
      </c>
      <c r="J8" s="50">
        <f t="shared" si="6"/>
        <v>0</v>
      </c>
      <c r="K8" s="50">
        <f t="shared" si="7"/>
        <v>0</v>
      </c>
      <c r="L8" s="50">
        <f t="shared" si="8"/>
        <v>40332</v>
      </c>
    </row>
    <row r="9" spans="1:12" x14ac:dyDescent="0.3">
      <c r="A9" s="2" t="s">
        <v>6</v>
      </c>
      <c r="B9" s="2" t="s">
        <v>233</v>
      </c>
      <c r="C9" s="4" t="str">
        <f t="shared" si="9"/>
        <v>[S]#01_eerste verdieping</v>
      </c>
      <c r="D9" s="2" t="s">
        <v>235</v>
      </c>
      <c r="E9" s="2" t="s">
        <v>241</v>
      </c>
      <c r="F9" s="50">
        <f t="shared" si="3"/>
        <v>229.6</v>
      </c>
      <c r="G9" s="50">
        <f t="shared" si="4"/>
        <v>0</v>
      </c>
      <c r="H9" s="50">
        <f t="shared" si="10"/>
        <v>229.6</v>
      </c>
      <c r="I9" s="50">
        <f t="shared" si="5"/>
        <v>229.6</v>
      </c>
      <c r="J9" s="50">
        <f t="shared" si="6"/>
        <v>0</v>
      </c>
      <c r="K9" s="50">
        <f t="shared" si="7"/>
        <v>0</v>
      </c>
      <c r="L9" s="50">
        <f t="shared" si="8"/>
        <v>730941.5</v>
      </c>
    </row>
    <row r="10" spans="1:12" x14ac:dyDescent="0.3">
      <c r="A10" s="2" t="s">
        <v>7</v>
      </c>
      <c r="B10" s="2" t="s">
        <v>234</v>
      </c>
      <c r="C10" s="4" t="str">
        <f t="shared" si="9"/>
        <v>[S]#02_dakafwerking</v>
      </c>
      <c r="D10" s="2" t="s">
        <v>235</v>
      </c>
      <c r="E10" s="2" t="s">
        <v>241</v>
      </c>
      <c r="F10" s="50">
        <f t="shared" si="3"/>
        <v>0</v>
      </c>
      <c r="G10" s="50">
        <f t="shared" si="4"/>
        <v>0</v>
      </c>
      <c r="H10" s="50">
        <f t="shared" si="10"/>
        <v>0</v>
      </c>
      <c r="I10" s="50">
        <f t="shared" si="5"/>
        <v>0</v>
      </c>
      <c r="J10" s="50">
        <f t="shared" si="6"/>
        <v>0</v>
      </c>
      <c r="K10" s="50">
        <f t="shared" si="7"/>
        <v>0</v>
      </c>
      <c r="L10" s="50">
        <f t="shared" si="8"/>
        <v>96432</v>
      </c>
    </row>
    <row r="11" spans="1:12" x14ac:dyDescent="0.3">
      <c r="A11" s="2" t="s">
        <v>8</v>
      </c>
      <c r="B11" s="2" t="s">
        <v>181</v>
      </c>
      <c r="C11" s="4" t="str">
        <f t="shared" si="9"/>
        <v>[S]#03_&lt;xxx&gt;</v>
      </c>
      <c r="D11" s="2"/>
      <c r="E11" s="2"/>
      <c r="F11" s="50">
        <f t="shared" si="3"/>
        <v>0</v>
      </c>
      <c r="G11" s="50">
        <f t="shared" si="4"/>
        <v>0</v>
      </c>
      <c r="H11" s="50">
        <f t="shared" si="10"/>
        <v>0</v>
      </c>
      <c r="I11" s="50">
        <f t="shared" si="5"/>
        <v>0</v>
      </c>
      <c r="J11" s="50">
        <f t="shared" si="6"/>
        <v>0</v>
      </c>
      <c r="K11" s="50">
        <f t="shared" si="7"/>
        <v>0</v>
      </c>
      <c r="L11" s="50">
        <f t="shared" si="8"/>
        <v>0</v>
      </c>
    </row>
    <row r="12" spans="1:12" x14ac:dyDescent="0.3">
      <c r="A12" s="2" t="s">
        <v>9</v>
      </c>
      <c r="B12" s="2" t="s">
        <v>181</v>
      </c>
      <c r="C12" s="4" t="str">
        <f t="shared" si="9"/>
        <v>[S]#04_&lt;xxx&gt;</v>
      </c>
      <c r="D12" s="2"/>
      <c r="E12" s="2"/>
      <c r="F12" s="50">
        <f t="shared" si="3"/>
        <v>0</v>
      </c>
      <c r="G12" s="50">
        <f t="shared" si="4"/>
        <v>0</v>
      </c>
      <c r="H12" s="50">
        <f t="shared" si="10"/>
        <v>0</v>
      </c>
      <c r="I12" s="50">
        <f t="shared" si="5"/>
        <v>0</v>
      </c>
      <c r="J12" s="50">
        <f t="shared" si="6"/>
        <v>0</v>
      </c>
      <c r="K12" s="50">
        <f t="shared" si="7"/>
        <v>0</v>
      </c>
      <c r="L12" s="50">
        <f t="shared" si="8"/>
        <v>0</v>
      </c>
    </row>
    <row r="13" spans="1:12" x14ac:dyDescent="0.3">
      <c r="A13" s="2" t="s">
        <v>10</v>
      </c>
      <c r="B13" s="2" t="s">
        <v>181</v>
      </c>
      <c r="C13" s="4" t="str">
        <f t="shared" si="9"/>
        <v>[S]#05_&lt;xxx&gt;</v>
      </c>
      <c r="D13" s="2"/>
      <c r="E13" s="2"/>
      <c r="F13" s="50">
        <f t="shared" si="3"/>
        <v>0</v>
      </c>
      <c r="G13" s="50">
        <f t="shared" si="4"/>
        <v>0</v>
      </c>
      <c r="H13" s="50">
        <f t="shared" si="10"/>
        <v>0</v>
      </c>
      <c r="I13" s="50">
        <f t="shared" si="5"/>
        <v>0</v>
      </c>
      <c r="J13" s="50">
        <f t="shared" si="6"/>
        <v>0</v>
      </c>
      <c r="K13" s="50">
        <f t="shared" si="7"/>
        <v>0</v>
      </c>
      <c r="L13" s="50">
        <f t="shared" si="8"/>
        <v>0</v>
      </c>
    </row>
    <row r="14" spans="1:12" x14ac:dyDescent="0.3">
      <c r="A14" s="2" t="s">
        <v>11</v>
      </c>
      <c r="B14" s="2" t="s">
        <v>181</v>
      </c>
      <c r="C14" s="4" t="str">
        <f t="shared" si="9"/>
        <v>[S]#06_&lt;xxx&gt;</v>
      </c>
      <c r="D14" s="2"/>
      <c r="E14" s="2"/>
      <c r="F14" s="50">
        <f t="shared" si="3"/>
        <v>0</v>
      </c>
      <c r="G14" s="50">
        <f t="shared" si="4"/>
        <v>0</v>
      </c>
      <c r="H14" s="50">
        <f t="shared" si="10"/>
        <v>0</v>
      </c>
      <c r="I14" s="50">
        <f t="shared" si="5"/>
        <v>0</v>
      </c>
      <c r="J14" s="50">
        <f t="shared" si="6"/>
        <v>0</v>
      </c>
      <c r="K14" s="50">
        <f t="shared" si="7"/>
        <v>0</v>
      </c>
      <c r="L14" s="50">
        <f t="shared" si="8"/>
        <v>0</v>
      </c>
    </row>
    <row r="15" spans="1:12" x14ac:dyDescent="0.3">
      <c r="A15" s="2" t="s">
        <v>12</v>
      </c>
      <c r="B15" s="2" t="s">
        <v>181</v>
      </c>
      <c r="C15" s="4" t="str">
        <f t="shared" si="9"/>
        <v>[S]#07_&lt;xxx&gt;</v>
      </c>
      <c r="D15" s="2"/>
      <c r="E15" s="2"/>
      <c r="F15" s="50">
        <f t="shared" si="3"/>
        <v>0</v>
      </c>
      <c r="G15" s="50">
        <f t="shared" si="4"/>
        <v>0</v>
      </c>
      <c r="H15" s="50">
        <f t="shared" si="10"/>
        <v>0</v>
      </c>
      <c r="I15" s="50">
        <f t="shared" si="5"/>
        <v>0</v>
      </c>
      <c r="J15" s="50">
        <f t="shared" si="6"/>
        <v>0</v>
      </c>
      <c r="K15" s="50">
        <f t="shared" si="7"/>
        <v>0</v>
      </c>
      <c r="L15" s="50">
        <f t="shared" si="8"/>
        <v>0</v>
      </c>
    </row>
    <row r="16" spans="1:12" x14ac:dyDescent="0.3">
      <c r="A16" s="2" t="s">
        <v>185</v>
      </c>
      <c r="B16" s="2" t="s">
        <v>181</v>
      </c>
      <c r="C16" s="4" t="str">
        <f t="shared" si="9"/>
        <v>[S]#08_&lt;xxx&gt;</v>
      </c>
      <c r="D16" s="2"/>
      <c r="E16" s="2"/>
      <c r="F16" s="50">
        <f t="shared" si="3"/>
        <v>0</v>
      </c>
      <c r="G16" s="50">
        <f t="shared" si="4"/>
        <v>0</v>
      </c>
      <c r="H16" s="50">
        <f t="shared" si="10"/>
        <v>0</v>
      </c>
      <c r="I16" s="50">
        <f t="shared" si="5"/>
        <v>0</v>
      </c>
      <c r="J16" s="50">
        <f t="shared" si="6"/>
        <v>0</v>
      </c>
      <c r="K16" s="50">
        <f t="shared" si="7"/>
        <v>0</v>
      </c>
      <c r="L16" s="50">
        <f t="shared" si="8"/>
        <v>0</v>
      </c>
    </row>
    <row r="17" spans="1:12" x14ac:dyDescent="0.3">
      <c r="A17" s="2" t="s">
        <v>186</v>
      </c>
      <c r="B17" s="2" t="s">
        <v>181</v>
      </c>
      <c r="C17" s="4" t="str">
        <f t="shared" si="9"/>
        <v>[S]#09_&lt;xxx&gt;</v>
      </c>
      <c r="D17" s="2"/>
      <c r="E17" s="2"/>
      <c r="F17" s="50">
        <f t="shared" si="3"/>
        <v>0</v>
      </c>
      <c r="G17" s="50">
        <f t="shared" si="4"/>
        <v>0</v>
      </c>
      <c r="H17" s="50">
        <f t="shared" si="10"/>
        <v>0</v>
      </c>
      <c r="I17" s="50">
        <f t="shared" si="5"/>
        <v>0</v>
      </c>
      <c r="J17" s="50">
        <f t="shared" si="6"/>
        <v>0</v>
      </c>
      <c r="K17" s="50">
        <f t="shared" si="7"/>
        <v>0</v>
      </c>
      <c r="L17" s="50">
        <f t="shared" si="8"/>
        <v>0</v>
      </c>
    </row>
    <row r="18" spans="1:12" x14ac:dyDescent="0.3">
      <c r="A18" s="2" t="s">
        <v>187</v>
      </c>
      <c r="B18" s="2" t="s">
        <v>181</v>
      </c>
      <c r="C18" s="4" t="str">
        <f t="shared" si="9"/>
        <v>[S]#10_&lt;xxx&gt;</v>
      </c>
      <c r="D18" s="2"/>
      <c r="E18" s="2"/>
      <c r="F18" s="50">
        <f t="shared" si="3"/>
        <v>0</v>
      </c>
      <c r="G18" s="50">
        <f t="shared" si="4"/>
        <v>0</v>
      </c>
      <c r="H18" s="50">
        <f t="shared" si="10"/>
        <v>0</v>
      </c>
      <c r="I18" s="50">
        <f t="shared" si="5"/>
        <v>0</v>
      </c>
      <c r="J18" s="50">
        <f t="shared" si="6"/>
        <v>0</v>
      </c>
      <c r="K18" s="50">
        <f t="shared" si="7"/>
        <v>0</v>
      </c>
      <c r="L18" s="50">
        <f t="shared" si="8"/>
        <v>0</v>
      </c>
    </row>
    <row r="19" spans="1:12" x14ac:dyDescent="0.3">
      <c r="A19" s="2"/>
      <c r="B19" s="2"/>
      <c r="C19" s="4" t="str">
        <f t="shared" si="9"/>
        <v>_</v>
      </c>
      <c r="D19" s="2"/>
      <c r="E19" s="2"/>
      <c r="F19" s="50">
        <f t="shared" si="3"/>
        <v>0</v>
      </c>
      <c r="G19" s="50">
        <f t="shared" si="4"/>
        <v>0</v>
      </c>
      <c r="H19" s="50">
        <f t="shared" si="10"/>
        <v>0</v>
      </c>
      <c r="I19" s="50">
        <f t="shared" si="5"/>
        <v>0</v>
      </c>
      <c r="J19" s="50">
        <f t="shared" si="6"/>
        <v>0</v>
      </c>
      <c r="K19" s="50">
        <f t="shared" si="7"/>
        <v>0</v>
      </c>
      <c r="L19" s="50">
        <f t="shared" si="8"/>
        <v>0</v>
      </c>
    </row>
    <row r="20" spans="1:12" x14ac:dyDescent="0.3">
      <c r="A20" s="2" t="s">
        <v>28</v>
      </c>
      <c r="B20" s="2" t="s">
        <v>29</v>
      </c>
      <c r="C20" s="4" t="str">
        <f t="shared" si="9"/>
        <v>[S]_multiple storeys</v>
      </c>
      <c r="D20" s="2"/>
      <c r="E20" s="2"/>
      <c r="F20" s="3"/>
      <c r="G20" s="3"/>
      <c r="H20" s="3"/>
      <c r="I20" s="3"/>
      <c r="J20" s="3"/>
      <c r="K20" s="3"/>
      <c r="L20" s="50">
        <f t="shared" si="8"/>
        <v>0</v>
      </c>
    </row>
    <row r="21" spans="1:12" ht="15" thickBot="1" x14ac:dyDescent="0.35">
      <c r="A21" s="3"/>
      <c r="B21" s="3"/>
      <c r="C21" s="53" t="str">
        <f>C20</f>
        <v>[S]_multiple storeys</v>
      </c>
      <c r="D21" s="2" t="s">
        <v>235</v>
      </c>
      <c r="E21" s="2" t="s">
        <v>241</v>
      </c>
      <c r="F21" s="3"/>
      <c r="G21" s="3"/>
      <c r="H21" s="3"/>
      <c r="I21" s="3"/>
      <c r="J21" s="3"/>
      <c r="K21" s="3"/>
      <c r="L21" s="50">
        <f t="shared" si="8"/>
        <v>81848.522499999992</v>
      </c>
    </row>
    <row r="22" spans="1:12" ht="15.6" thickTop="1" thickBot="1" x14ac:dyDescent="0.35">
      <c r="A22" s="3"/>
      <c r="B22" s="3"/>
      <c r="C22" s="53" t="str">
        <f>C21</f>
        <v>[S]_multiple storeys</v>
      </c>
      <c r="D22" s="2" t="s">
        <v>280</v>
      </c>
      <c r="E22" s="2" t="s">
        <v>241</v>
      </c>
      <c r="F22" s="3"/>
      <c r="G22" s="3"/>
      <c r="H22" s="3"/>
      <c r="I22" s="3"/>
      <c r="J22" s="3"/>
      <c r="K22" s="3"/>
      <c r="L22" s="50">
        <f t="shared" ref="L22" si="15">SUMIFS(raming_subtotaal,raming_storey,C22,raming_entity,D22,raming_subproject,E22)</f>
        <v>1330.9560000000001</v>
      </c>
    </row>
    <row r="23" spans="1:12" ht="15.6" thickTop="1" thickBot="1" x14ac:dyDescent="0.35">
      <c r="A23" s="3"/>
      <c r="B23" s="3"/>
      <c r="C23" s="53" t="str">
        <f>C21</f>
        <v>[S]_multiple storeys</v>
      </c>
      <c r="D23" s="2" t="s">
        <v>178</v>
      </c>
      <c r="E23" s="2" t="s">
        <v>228</v>
      </c>
      <c r="F23" s="3"/>
      <c r="G23" s="3"/>
      <c r="H23" s="3"/>
      <c r="I23" s="3"/>
      <c r="J23" s="3"/>
      <c r="K23" s="3"/>
      <c r="L23" s="50">
        <f t="shared" si="8"/>
        <v>0</v>
      </c>
    </row>
    <row r="24" spans="1:12" ht="15" thickTop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</sheetData>
  <autoFilter ref="A3:K24" xr:uid="{64ED621F-6220-48A5-BAE7-4E618BF4629E}"/>
  <phoneticPr fontId="7" type="noConversion"/>
  <dataValidations count="2">
    <dataValidation type="list" allowBlank="1" showInputMessage="1" showErrorMessage="1" sqref="D4:D23" xr:uid="{D7D73519-BCF3-40A7-8197-434905C0FD0F}">
      <formula1>SysVar_Entities</formula1>
    </dataValidation>
    <dataValidation type="list" allowBlank="1" showInputMessage="1" showErrorMessage="1" sqref="E4:E23" xr:uid="{17BC2A66-82ED-4BF3-930D-970982986A27}">
      <formula1>SysVar_Subproject</formula1>
    </dataValidation>
  </dataValidations>
  <pageMargins left="0.70866141732283472" right="0.70866141732283472" top="1.1417322834645669" bottom="0.74803149606299213" header="0.31496062992125984" footer="0.31496062992125984"/>
  <pageSetup paperSize="9" scale="55" orientation="landscape" r:id="rId1"/>
  <headerFooter>
    <oddHeader>&amp;L&amp;G&amp;R&amp;F - &amp;A
p.&amp;P van &amp;N
afdruk dd.&amp;D</oddHeader>
    <oddFooter>&amp;LAll rights reserved by PB calc &amp; consult BV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0B2F-A794-43D1-90BE-3845D14909EE}">
  <sheetPr>
    <pageSetUpPr fitToPage="1"/>
  </sheetPr>
  <dimension ref="A1:L16"/>
  <sheetViews>
    <sheetView zoomScaleNormal="100" workbookViewId="0">
      <pane ySplit="2" topLeftCell="A3" activePane="bottomLeft" state="frozen"/>
      <selection pane="bottomLeft"/>
    </sheetView>
  </sheetViews>
  <sheetFormatPr defaultRowHeight="14.4" x14ac:dyDescent="0.3"/>
  <cols>
    <col min="1" max="1" width="17.6640625" customWidth="1"/>
    <col min="2" max="2" width="24.6640625" customWidth="1"/>
    <col min="3" max="3" width="20.6640625" customWidth="1"/>
    <col min="4" max="4" width="20.44140625" bestFit="1" customWidth="1"/>
    <col min="5" max="5" width="21.109375" bestFit="1" customWidth="1"/>
    <col min="6" max="6" width="26.109375" customWidth="1"/>
    <col min="7" max="9" width="13" bestFit="1" customWidth="1"/>
    <col min="10" max="11" width="12.88671875" bestFit="1" customWidth="1"/>
    <col min="12" max="12" width="21.109375" style="52" customWidth="1"/>
  </cols>
  <sheetData>
    <row r="1" spans="1:12" x14ac:dyDescent="0.3">
      <c r="A1" s="3" t="s">
        <v>302</v>
      </c>
      <c r="B1" s="2" t="s">
        <v>13</v>
      </c>
      <c r="C1" s="3"/>
      <c r="D1" s="46"/>
      <c r="E1" s="46"/>
      <c r="F1" s="46" t="s">
        <v>30</v>
      </c>
      <c r="G1" s="50">
        <f>SUBTOTAL(9,G2:G16)</f>
        <v>0</v>
      </c>
      <c r="H1" s="50">
        <f>SUBTOTAL(9,H2:H16)</f>
        <v>0</v>
      </c>
      <c r="I1" s="50">
        <f>SUBTOTAL(9,I2:I16)</f>
        <v>0</v>
      </c>
      <c r="J1" s="12">
        <f>SUBTOTAL(9,J2:J16)</f>
        <v>0</v>
      </c>
      <c r="K1" s="12">
        <f>SUBTOTAL(9,K2:K16)</f>
        <v>0</v>
      </c>
      <c r="L1" s="49">
        <f>SUBTOTAL(9,L3:L16)</f>
        <v>0</v>
      </c>
    </row>
    <row r="2" spans="1:12" x14ac:dyDescent="0.3">
      <c r="A2" s="3" t="s">
        <v>0</v>
      </c>
      <c r="B2" s="3" t="s">
        <v>1</v>
      </c>
      <c r="C2" s="3" t="s">
        <v>2</v>
      </c>
      <c r="D2" s="3" t="s">
        <v>165</v>
      </c>
      <c r="E2" s="3" t="s">
        <v>179</v>
      </c>
      <c r="F2" s="3" t="s">
        <v>225</v>
      </c>
      <c r="G2" s="54" t="s">
        <v>17</v>
      </c>
      <c r="H2" s="54" t="s">
        <v>18</v>
      </c>
      <c r="I2" s="54" t="s">
        <v>22</v>
      </c>
      <c r="J2" s="3" t="s">
        <v>23</v>
      </c>
      <c r="K2" s="3" t="s">
        <v>24</v>
      </c>
      <c r="L2" s="51" t="s">
        <v>170</v>
      </c>
    </row>
    <row r="3" spans="1:12" x14ac:dyDescent="0.3">
      <c r="A3" s="2" t="s">
        <v>188</v>
      </c>
      <c r="B3" s="2" t="s">
        <v>240</v>
      </c>
      <c r="C3" s="4" t="str">
        <f t="shared" ref="C3" si="0">CONCATENATE(A3,"_",B3)</f>
        <v>[Z]#&lt;xxx&gt;_geen zones</v>
      </c>
      <c r="D3" s="2"/>
      <c r="E3" s="2"/>
      <c r="F3" s="2"/>
      <c r="G3" s="50">
        <f t="shared" ref="G3:G11" si="1">SUMIFS(opmeting_LA,opmeting_subproject,$F3,opmeting_entity,$E3,opmeting_storey,$D3,opmeting_zone,$C3)</f>
        <v>0</v>
      </c>
      <c r="H3" s="50">
        <f t="shared" ref="H3:H11" si="2">SUMIFS(opmeting_NLA,opmeting_subproject,$F3,opmeting_entity,$E3,opmeting_storey,$D3,opmeting_zone,$C3)</f>
        <v>0</v>
      </c>
      <c r="I3" s="50">
        <f t="shared" ref="I3:I11" si="3">SUMIFS(opmeting_GFAA,opmeting_subproject,$F3,opmeting_entity,$E3,opmeting_storey,$D3,opmeting_zone,$C3)</f>
        <v>0</v>
      </c>
      <c r="J3" s="50">
        <f t="shared" ref="J3:J11" si="4">SUMIFS(opmeting_GFAB,opmeting_subproject,$F3,opmeting_entity,$E3,opmeting_storey,$D3,opmeting_zone,$C3)</f>
        <v>0</v>
      </c>
      <c r="K3" s="50">
        <f t="shared" ref="K3:K11" si="5">SUMIFS(opmeting_GFAC,opmeting_subproject,$F3,opmeting_entity,$E3,opmeting_storey,$D3,opmeting_zone,$C3)</f>
        <v>0</v>
      </c>
      <c r="L3" s="49">
        <f t="shared" ref="L3:L15" si="6">SUMIFS(raming_subtotaal,raming_zone,C3,raming_storey,D3,raming_entity,E3,raming_subproject,F3)</f>
        <v>0</v>
      </c>
    </row>
    <row r="4" spans="1:12" x14ac:dyDescent="0.3">
      <c r="A4" s="2"/>
      <c r="B4" s="2"/>
      <c r="C4" s="4" t="str">
        <f t="shared" ref="C4" si="7">CONCATENATE(A4,"_",B4)</f>
        <v>_</v>
      </c>
      <c r="D4" s="2"/>
      <c r="E4" s="2"/>
      <c r="F4" s="2"/>
      <c r="G4" s="50">
        <f t="shared" si="1"/>
        <v>0</v>
      </c>
      <c r="H4" s="50">
        <f t="shared" si="2"/>
        <v>0</v>
      </c>
      <c r="I4" s="50">
        <f t="shared" si="3"/>
        <v>0</v>
      </c>
      <c r="J4" s="50">
        <f t="shared" si="4"/>
        <v>0</v>
      </c>
      <c r="K4" s="50">
        <f t="shared" si="5"/>
        <v>0</v>
      </c>
      <c r="L4" s="49">
        <f t="shared" si="6"/>
        <v>0</v>
      </c>
    </row>
    <row r="5" spans="1:12" x14ac:dyDescent="0.3">
      <c r="A5" s="2"/>
      <c r="B5" s="2"/>
      <c r="C5" s="4" t="str">
        <f t="shared" ref="C5" si="8">CONCATENATE(A5,"_",B5)</f>
        <v>_</v>
      </c>
      <c r="D5" s="2"/>
      <c r="E5" s="2"/>
      <c r="F5" s="2"/>
      <c r="G5" s="50">
        <f t="shared" si="1"/>
        <v>0</v>
      </c>
      <c r="H5" s="50">
        <f t="shared" si="2"/>
        <v>0</v>
      </c>
      <c r="I5" s="50">
        <f t="shared" si="3"/>
        <v>0</v>
      </c>
      <c r="J5" s="50">
        <f t="shared" si="4"/>
        <v>0</v>
      </c>
      <c r="K5" s="50">
        <f t="shared" si="5"/>
        <v>0</v>
      </c>
      <c r="L5" s="49">
        <f t="shared" si="6"/>
        <v>0</v>
      </c>
    </row>
    <row r="6" spans="1:12" x14ac:dyDescent="0.3">
      <c r="A6" s="2"/>
      <c r="B6" s="2"/>
      <c r="C6" s="4" t="str">
        <f t="shared" ref="C6:C7" si="9">CONCATENATE(A6,"_",B6)</f>
        <v>_</v>
      </c>
      <c r="D6" s="2"/>
      <c r="E6" s="2"/>
      <c r="F6" s="2"/>
      <c r="G6" s="50">
        <f t="shared" si="1"/>
        <v>0</v>
      </c>
      <c r="H6" s="50">
        <f t="shared" si="2"/>
        <v>0</v>
      </c>
      <c r="I6" s="50">
        <f t="shared" si="3"/>
        <v>0</v>
      </c>
      <c r="J6" s="50">
        <f t="shared" si="4"/>
        <v>0</v>
      </c>
      <c r="K6" s="50">
        <f t="shared" si="5"/>
        <v>0</v>
      </c>
      <c r="L6" s="49">
        <f t="shared" si="6"/>
        <v>0</v>
      </c>
    </row>
    <row r="7" spans="1:12" x14ac:dyDescent="0.3">
      <c r="A7" s="2"/>
      <c r="B7" s="2"/>
      <c r="C7" s="4" t="str">
        <f t="shared" si="9"/>
        <v>_</v>
      </c>
      <c r="D7" s="2"/>
      <c r="E7" s="2"/>
      <c r="F7" s="2"/>
      <c r="G7" s="50">
        <f t="shared" si="1"/>
        <v>0</v>
      </c>
      <c r="H7" s="50">
        <f t="shared" si="2"/>
        <v>0</v>
      </c>
      <c r="I7" s="50">
        <f t="shared" si="3"/>
        <v>0</v>
      </c>
      <c r="J7" s="50">
        <f t="shared" si="4"/>
        <v>0</v>
      </c>
      <c r="K7" s="50">
        <f t="shared" si="5"/>
        <v>0</v>
      </c>
      <c r="L7" s="49">
        <f t="shared" si="6"/>
        <v>0</v>
      </c>
    </row>
    <row r="8" spans="1:12" x14ac:dyDescent="0.3">
      <c r="A8" s="2"/>
      <c r="B8" s="2"/>
      <c r="C8" s="4" t="str">
        <f t="shared" ref="C8:C12" si="10">CONCATENATE(A8,"_",B8)</f>
        <v>_</v>
      </c>
      <c r="D8" s="2"/>
      <c r="E8" s="2"/>
      <c r="F8" s="2"/>
      <c r="G8" s="50">
        <f t="shared" si="1"/>
        <v>0</v>
      </c>
      <c r="H8" s="50">
        <f t="shared" si="2"/>
        <v>0</v>
      </c>
      <c r="I8" s="50">
        <f t="shared" si="3"/>
        <v>0</v>
      </c>
      <c r="J8" s="50">
        <f t="shared" si="4"/>
        <v>0</v>
      </c>
      <c r="K8" s="50">
        <f t="shared" si="5"/>
        <v>0</v>
      </c>
      <c r="L8" s="49">
        <f t="shared" si="6"/>
        <v>0</v>
      </c>
    </row>
    <row r="9" spans="1:12" x14ac:dyDescent="0.3">
      <c r="A9" s="2"/>
      <c r="B9" s="2"/>
      <c r="C9" s="4" t="str">
        <f t="shared" si="10"/>
        <v>_</v>
      </c>
      <c r="D9" s="2"/>
      <c r="E9" s="2"/>
      <c r="F9" s="2"/>
      <c r="G9" s="50">
        <f t="shared" si="1"/>
        <v>0</v>
      </c>
      <c r="H9" s="50">
        <f t="shared" si="2"/>
        <v>0</v>
      </c>
      <c r="I9" s="50">
        <f t="shared" si="3"/>
        <v>0</v>
      </c>
      <c r="J9" s="50">
        <f t="shared" si="4"/>
        <v>0</v>
      </c>
      <c r="K9" s="50">
        <f t="shared" si="5"/>
        <v>0</v>
      </c>
      <c r="L9" s="49">
        <f t="shared" si="6"/>
        <v>0</v>
      </c>
    </row>
    <row r="10" spans="1:12" x14ac:dyDescent="0.3">
      <c r="A10" s="2"/>
      <c r="B10" s="2"/>
      <c r="C10" s="4" t="str">
        <f t="shared" si="10"/>
        <v>_</v>
      </c>
      <c r="D10" s="2"/>
      <c r="E10" s="2"/>
      <c r="F10" s="2"/>
      <c r="G10" s="50">
        <f t="shared" si="1"/>
        <v>0</v>
      </c>
      <c r="H10" s="50">
        <f t="shared" si="2"/>
        <v>0</v>
      </c>
      <c r="I10" s="50">
        <f t="shared" si="3"/>
        <v>0</v>
      </c>
      <c r="J10" s="50">
        <f t="shared" si="4"/>
        <v>0</v>
      </c>
      <c r="K10" s="50">
        <f t="shared" si="5"/>
        <v>0</v>
      </c>
      <c r="L10" s="49">
        <f t="shared" si="6"/>
        <v>0</v>
      </c>
    </row>
    <row r="11" spans="1:12" x14ac:dyDescent="0.3">
      <c r="A11" s="2"/>
      <c r="B11" s="2"/>
      <c r="C11" s="4" t="str">
        <f t="shared" si="10"/>
        <v>_</v>
      </c>
      <c r="D11" s="2"/>
      <c r="E11" s="2"/>
      <c r="F11" s="2"/>
      <c r="G11" s="50">
        <f t="shared" si="1"/>
        <v>0</v>
      </c>
      <c r="H11" s="50">
        <f t="shared" si="2"/>
        <v>0</v>
      </c>
      <c r="I11" s="50">
        <f t="shared" si="3"/>
        <v>0</v>
      </c>
      <c r="J11" s="50">
        <f t="shared" si="4"/>
        <v>0</v>
      </c>
      <c r="K11" s="50">
        <f t="shared" si="5"/>
        <v>0</v>
      </c>
      <c r="L11" s="49">
        <f t="shared" si="6"/>
        <v>0</v>
      </c>
    </row>
    <row r="12" spans="1:12" x14ac:dyDescent="0.3">
      <c r="A12" s="2" t="s">
        <v>27</v>
      </c>
      <c r="B12" s="2" t="s">
        <v>26</v>
      </c>
      <c r="C12" s="4" t="str">
        <f t="shared" si="10"/>
        <v>[Z]_multiple zones</v>
      </c>
      <c r="D12" s="2"/>
      <c r="E12" s="2"/>
      <c r="F12" s="2"/>
      <c r="G12" s="55"/>
      <c r="H12" s="55"/>
      <c r="I12" s="55"/>
      <c r="J12" s="55"/>
      <c r="K12" s="55"/>
      <c r="L12" s="49">
        <f t="shared" si="6"/>
        <v>0</v>
      </c>
    </row>
    <row r="13" spans="1:12" ht="15" thickBot="1" x14ac:dyDescent="0.35">
      <c r="A13" s="3"/>
      <c r="B13" s="3"/>
      <c r="C13" s="53" t="str">
        <f>C12</f>
        <v>[Z]_multiple zones</v>
      </c>
      <c r="D13" s="2" t="s">
        <v>164</v>
      </c>
      <c r="E13" s="2"/>
      <c r="F13" s="2"/>
      <c r="G13" s="3"/>
      <c r="H13" s="3"/>
      <c r="I13" s="3"/>
      <c r="J13" s="3"/>
      <c r="K13" s="3"/>
      <c r="L13" s="49">
        <f t="shared" si="6"/>
        <v>0</v>
      </c>
    </row>
    <row r="14" spans="1:12" ht="15.6" thickTop="1" thickBot="1" x14ac:dyDescent="0.35">
      <c r="A14" s="3"/>
      <c r="B14" s="3"/>
      <c r="C14" s="53" t="str">
        <f>C13</f>
        <v>[Z]_multiple zones</v>
      </c>
      <c r="D14" s="2" t="s">
        <v>164</v>
      </c>
      <c r="E14" s="2" t="s">
        <v>178</v>
      </c>
      <c r="F14" s="2"/>
      <c r="G14" s="3"/>
      <c r="H14" s="3"/>
      <c r="I14" s="3"/>
      <c r="J14" s="3"/>
      <c r="K14" s="3"/>
      <c r="L14" s="49">
        <f t="shared" si="6"/>
        <v>0</v>
      </c>
    </row>
    <row r="15" spans="1:12" ht="15.6" thickTop="1" thickBot="1" x14ac:dyDescent="0.35">
      <c r="A15" s="3"/>
      <c r="B15" s="3"/>
      <c r="C15" s="53" t="str">
        <f>C14</f>
        <v>[Z]_multiple zones</v>
      </c>
      <c r="D15" s="2" t="s">
        <v>164</v>
      </c>
      <c r="E15" s="2" t="s">
        <v>178</v>
      </c>
      <c r="F15" s="2" t="s">
        <v>228</v>
      </c>
      <c r="G15" s="3"/>
      <c r="H15" s="3"/>
      <c r="I15" s="3"/>
      <c r="J15" s="3"/>
      <c r="K15" s="3"/>
      <c r="L15" s="49">
        <f t="shared" si="6"/>
        <v>0</v>
      </c>
    </row>
    <row r="16" spans="1:12" ht="15" thickTop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51"/>
    </row>
  </sheetData>
  <autoFilter ref="A2:L16" xr:uid="{DC090B2F-A794-43D1-90BE-3845D14909EE}"/>
  <phoneticPr fontId="7" type="noConversion"/>
  <dataValidations count="3">
    <dataValidation type="list" allowBlank="1" showInputMessage="1" showErrorMessage="1" sqref="E3:E15" xr:uid="{90AFD4EA-AFBC-4E49-A80E-83F0E0F1CF78}">
      <formula1>SysVar_Entities</formula1>
    </dataValidation>
    <dataValidation type="list" allowBlank="1" showInputMessage="1" showErrorMessage="1" sqref="F3:F15" xr:uid="{A5980DE8-299E-481A-BCA4-CAF2A1602E11}">
      <formula1>SysVar_Subproject</formula1>
    </dataValidation>
    <dataValidation type="list" allowBlank="1" showInputMessage="1" showErrorMessage="1" sqref="D3:D16" xr:uid="{C0E2FCBF-9025-45BA-9C56-17B17F9EBF0E}">
      <formula1>SysVar_Storeys</formula1>
    </dataValidation>
  </dataValidations>
  <pageMargins left="0.70866141732283472" right="0.70866141732283472" top="1.1417322834645669" bottom="0.74803149606299213" header="0.31496062992125984" footer="0.31496062992125984"/>
  <pageSetup paperSize="9" scale="60" orientation="landscape" r:id="rId1"/>
  <headerFooter>
    <oddHeader>&amp;L&amp;G&amp;R&amp;F - &amp;A
p.&amp;P van &amp;N
afdruk dd.&amp;D</oddHeader>
    <oddFooter>&amp;LAll rights reserved by PB calc &amp; consult BV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0B56-C2A2-496F-A965-6DEB8E424E37}">
  <sheetPr>
    <pageSetUpPr fitToPage="1"/>
  </sheetPr>
  <dimension ref="A1:O10"/>
  <sheetViews>
    <sheetView zoomScaleNormal="100" workbookViewId="0">
      <pane ySplit="2" topLeftCell="A3" activePane="bottomLeft" state="frozen"/>
      <selection pane="bottomLeft" activeCell="N4" sqref="N4"/>
    </sheetView>
  </sheetViews>
  <sheetFormatPr defaultColWidth="9.109375" defaultRowHeight="14.4" x14ac:dyDescent="0.3"/>
  <cols>
    <col min="1" max="1" width="13.33203125" style="6" bestFit="1" customWidth="1"/>
    <col min="2" max="2" width="22.44140625" style="6" bestFit="1" customWidth="1"/>
    <col min="3" max="3" width="22.88671875" style="6" bestFit="1" customWidth="1"/>
    <col min="4" max="4" width="20.109375" style="6" bestFit="1" customWidth="1"/>
    <col min="5" max="5" width="18" style="41" customWidth="1"/>
    <col min="6" max="6" width="14" style="11" bestFit="1" customWidth="1"/>
    <col min="7" max="8" width="13.88671875" style="11" bestFit="1" customWidth="1"/>
    <col min="9" max="9" width="12.33203125" style="11" bestFit="1" customWidth="1"/>
    <col min="10" max="10" width="10.6640625" style="11" bestFit="1" customWidth="1"/>
    <col min="11" max="11" width="11" style="11" bestFit="1" customWidth="1"/>
    <col min="12" max="12" width="11.6640625" style="11" bestFit="1" customWidth="1"/>
    <col min="13" max="13" width="13.44140625" style="11" bestFit="1" customWidth="1"/>
    <col min="14" max="14" width="29.44140625" style="11" bestFit="1" customWidth="1"/>
    <col min="15" max="15" width="27.109375" style="11" bestFit="1" customWidth="1"/>
    <col min="16" max="16384" width="9.109375" style="6"/>
  </cols>
  <sheetData>
    <row r="1" spans="1:15" ht="28.8" x14ac:dyDescent="0.3">
      <c r="A1" s="5"/>
      <c r="B1" s="5"/>
      <c r="C1" s="5"/>
      <c r="D1" s="5"/>
      <c r="E1" s="61" t="s">
        <v>30</v>
      </c>
      <c r="F1" s="71">
        <f t="shared" ref="F1:O1" si="0">SUBTOTAL(9,F2:F10)</f>
        <v>408.5</v>
      </c>
      <c r="G1" s="71">
        <f t="shared" si="0"/>
        <v>0</v>
      </c>
      <c r="H1" s="71">
        <f t="shared" si="0"/>
        <v>0</v>
      </c>
      <c r="I1" s="71">
        <f t="shared" si="0"/>
        <v>0</v>
      </c>
      <c r="J1" s="71">
        <f t="shared" si="0"/>
        <v>408.5</v>
      </c>
      <c r="K1" s="71">
        <f t="shared" si="0"/>
        <v>336.1</v>
      </c>
      <c r="L1" s="71">
        <f t="shared" si="0"/>
        <v>229.6</v>
      </c>
      <c r="M1" s="71">
        <f t="shared" si="0"/>
        <v>624</v>
      </c>
      <c r="N1" s="71">
        <f t="shared" si="0"/>
        <v>50.699999999999989</v>
      </c>
      <c r="O1" s="71">
        <f t="shared" si="0"/>
        <v>178.9</v>
      </c>
    </row>
    <row r="2" spans="1:15" x14ac:dyDescent="0.3">
      <c r="A2" s="5" t="s">
        <v>14</v>
      </c>
      <c r="B2" s="5" t="s">
        <v>223</v>
      </c>
      <c r="C2" s="5" t="s">
        <v>15</v>
      </c>
      <c r="D2" s="5" t="s">
        <v>16</v>
      </c>
      <c r="E2" s="62" t="s">
        <v>25</v>
      </c>
      <c r="F2" s="72" t="s">
        <v>22</v>
      </c>
      <c r="G2" s="72" t="s">
        <v>23</v>
      </c>
      <c r="H2" s="72" t="s">
        <v>24</v>
      </c>
      <c r="I2" s="72" t="s">
        <v>18</v>
      </c>
      <c r="J2" s="72" t="s">
        <v>17</v>
      </c>
      <c r="K2" s="72" t="s">
        <v>289</v>
      </c>
      <c r="L2" s="72" t="s">
        <v>19</v>
      </c>
      <c r="M2" s="72" t="s">
        <v>20</v>
      </c>
      <c r="N2" s="72" t="s">
        <v>21</v>
      </c>
      <c r="O2" s="72" t="s">
        <v>237</v>
      </c>
    </row>
    <row r="3" spans="1:15" ht="15" thickBot="1" x14ac:dyDescent="0.35">
      <c r="A3" s="7" t="s">
        <v>235</v>
      </c>
      <c r="B3" s="7" t="s">
        <v>241</v>
      </c>
      <c r="C3" s="7" t="s">
        <v>236</v>
      </c>
      <c r="D3" s="7" t="s">
        <v>242</v>
      </c>
      <c r="E3" s="9" t="s">
        <v>244</v>
      </c>
      <c r="F3" s="73">
        <v>178.9</v>
      </c>
      <c r="G3" s="73"/>
      <c r="H3" s="73"/>
      <c r="I3" s="73"/>
      <c r="J3" s="74">
        <f>SUM(F3:I3)</f>
        <v>178.9</v>
      </c>
      <c r="K3" s="73"/>
      <c r="L3" s="73"/>
      <c r="M3" s="73">
        <v>194.25</v>
      </c>
      <c r="N3" s="74">
        <f>F5-F3</f>
        <v>50.699999999999989</v>
      </c>
      <c r="O3" s="75">
        <f>F3</f>
        <v>178.9</v>
      </c>
    </row>
    <row r="4" spans="1:15" ht="15" thickTop="1" x14ac:dyDescent="0.3">
      <c r="A4" s="7" t="s">
        <v>235</v>
      </c>
      <c r="B4" s="7" t="s">
        <v>241</v>
      </c>
      <c r="C4" s="7" t="s">
        <v>236</v>
      </c>
      <c r="D4" s="7" t="s">
        <v>242</v>
      </c>
      <c r="E4" s="9" t="s">
        <v>245</v>
      </c>
      <c r="F4" s="73"/>
      <c r="G4" s="73"/>
      <c r="H4" s="73"/>
      <c r="I4" s="73"/>
      <c r="J4" s="74">
        <f t="shared" ref="J4:J8" si="1">SUM(F4:I4)</f>
        <v>0</v>
      </c>
      <c r="K4" s="73"/>
      <c r="L4" s="73"/>
      <c r="M4" s="73">
        <v>9.75</v>
      </c>
      <c r="N4" s="73"/>
      <c r="O4" s="73"/>
    </row>
    <row r="5" spans="1:15" x14ac:dyDescent="0.3">
      <c r="A5" s="7" t="s">
        <v>235</v>
      </c>
      <c r="B5" s="7" t="s">
        <v>241</v>
      </c>
      <c r="C5" s="7" t="s">
        <v>238</v>
      </c>
      <c r="D5" s="7" t="s">
        <v>242</v>
      </c>
      <c r="E5" s="9" t="s">
        <v>244</v>
      </c>
      <c r="F5" s="73">
        <v>229.6</v>
      </c>
      <c r="G5" s="73"/>
      <c r="H5" s="73"/>
      <c r="I5" s="73"/>
      <c r="J5" s="74">
        <f t="shared" si="1"/>
        <v>229.6</v>
      </c>
      <c r="K5" s="73"/>
      <c r="L5" s="73"/>
      <c r="M5" s="73">
        <v>330</v>
      </c>
      <c r="N5" s="73"/>
      <c r="O5" s="73"/>
    </row>
    <row r="6" spans="1:15" x14ac:dyDescent="0.3">
      <c r="A6" s="7" t="s">
        <v>235</v>
      </c>
      <c r="B6" s="7" t="s">
        <v>241</v>
      </c>
      <c r="C6" s="7" t="s">
        <v>238</v>
      </c>
      <c r="D6" s="7" t="s">
        <v>242</v>
      </c>
      <c r="E6" s="9" t="s">
        <v>245</v>
      </c>
      <c r="F6" s="73"/>
      <c r="G6" s="73"/>
      <c r="H6" s="73"/>
      <c r="I6" s="73"/>
      <c r="J6" s="74">
        <f t="shared" si="1"/>
        <v>0</v>
      </c>
      <c r="K6" s="73"/>
      <c r="L6" s="73"/>
      <c r="M6" s="73">
        <v>90</v>
      </c>
      <c r="N6" s="73"/>
      <c r="O6" s="73"/>
    </row>
    <row r="7" spans="1:15" ht="15" thickBot="1" x14ac:dyDescent="0.35">
      <c r="A7" s="7" t="s">
        <v>235</v>
      </c>
      <c r="B7" s="7" t="s">
        <v>241</v>
      </c>
      <c r="C7" s="7" t="s">
        <v>243</v>
      </c>
      <c r="D7" s="7" t="s">
        <v>242</v>
      </c>
      <c r="E7" s="9"/>
      <c r="F7" s="73"/>
      <c r="G7" s="73"/>
      <c r="H7" s="73"/>
      <c r="I7" s="73"/>
      <c r="J7" s="74">
        <f t="shared" si="1"/>
        <v>0</v>
      </c>
      <c r="K7" s="73"/>
      <c r="L7" s="75">
        <f>F5</f>
        <v>229.6</v>
      </c>
      <c r="M7" s="73"/>
      <c r="N7" s="73"/>
      <c r="O7" s="73"/>
    </row>
    <row r="8" spans="1:15" ht="15" thickTop="1" x14ac:dyDescent="0.3">
      <c r="A8" s="7" t="s">
        <v>280</v>
      </c>
      <c r="B8" s="7" t="s">
        <v>241</v>
      </c>
      <c r="C8" s="7" t="s">
        <v>236</v>
      </c>
      <c r="D8" s="7" t="s">
        <v>242</v>
      </c>
      <c r="E8" s="9"/>
      <c r="F8" s="73"/>
      <c r="G8" s="73"/>
      <c r="H8" s="73"/>
      <c r="I8" s="73"/>
      <c r="J8" s="74">
        <f t="shared" si="1"/>
        <v>0</v>
      </c>
      <c r="K8" s="73">
        <v>336.1</v>
      </c>
      <c r="L8" s="73"/>
      <c r="M8" s="73"/>
      <c r="N8" s="73"/>
      <c r="O8" s="73"/>
    </row>
    <row r="9" spans="1:15" x14ac:dyDescent="0.3">
      <c r="A9" s="7"/>
      <c r="B9" s="7"/>
      <c r="C9" s="7"/>
      <c r="D9" s="7"/>
      <c r="E9" s="9"/>
      <c r="F9" s="73"/>
      <c r="G9" s="73"/>
      <c r="H9" s="73"/>
      <c r="I9" s="73"/>
      <c r="J9" s="74">
        <f t="shared" ref="J9" si="2">SUM(F9:I9)</f>
        <v>0</v>
      </c>
      <c r="K9" s="73"/>
      <c r="L9" s="73"/>
      <c r="M9" s="73"/>
      <c r="N9" s="73"/>
      <c r="O9" s="73"/>
    </row>
    <row r="10" spans="1:15" x14ac:dyDescent="0.3">
      <c r="A10" s="5"/>
      <c r="B10" s="5"/>
      <c r="C10" s="5"/>
      <c r="D10" s="5"/>
      <c r="E10" s="62"/>
      <c r="F10" s="10"/>
      <c r="G10" s="10"/>
      <c r="H10" s="10"/>
      <c r="I10" s="10"/>
      <c r="J10" s="10"/>
      <c r="K10" s="10"/>
      <c r="L10" s="10"/>
      <c r="M10" s="10"/>
      <c r="N10" s="10"/>
      <c r="O10" s="10"/>
    </row>
  </sheetData>
  <autoFilter ref="A2:O10" xr:uid="{B73E0B56-C2A2-496F-A965-6DEB8E424E37}"/>
  <phoneticPr fontId="7" type="noConversion"/>
  <dataValidations count="4">
    <dataValidation type="list" allowBlank="1" showInputMessage="1" showErrorMessage="1" sqref="A3:A9" xr:uid="{37CFD269-23D1-48CB-9B4A-D019DB3ACF05}">
      <formula1>SysVar_Entities</formula1>
    </dataValidation>
    <dataValidation type="list" allowBlank="1" showInputMessage="1" showErrorMessage="1" sqref="C3:C9" xr:uid="{7F97CB96-FFD9-4154-AF38-5F385C303CCD}">
      <formula1>SysVar_Storeys</formula1>
    </dataValidation>
    <dataValidation type="list" allowBlank="1" showInputMessage="1" showErrorMessage="1" sqref="D3:D9" xr:uid="{4839C209-85A0-480E-9E53-08411B33BC1F}">
      <formula1>SysVar_Zones</formula1>
    </dataValidation>
    <dataValidation type="list" allowBlank="1" showInputMessage="1" showErrorMessage="1" sqref="B3:B10" xr:uid="{F4E20A29-836A-458A-BBFA-A4DA3431018F}">
      <formula1>SysVar_Subproject</formula1>
    </dataValidation>
  </dataValidations>
  <pageMargins left="0.70866141732283472" right="0.70866141732283472" top="1.1417322834645669" bottom="0.74803149606299213" header="0.31496062992125984" footer="0.31496062992125984"/>
  <pageSetup paperSize="9" scale="53" orientation="landscape" r:id="rId1"/>
  <headerFooter>
    <oddHeader>&amp;L&amp;G&amp;R&amp;F - &amp;A
p.&amp;P van &amp;N
afdruk dd.&amp;D</oddHeader>
    <oddFooter>&amp;LAll rights reserved by PB calc &amp; consult BV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E8D2-E8D7-4561-96BE-30758A8E22DA}">
  <dimension ref="A1:E30"/>
  <sheetViews>
    <sheetView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B37" sqref="B37"/>
    </sheetView>
  </sheetViews>
  <sheetFormatPr defaultRowHeight="14.4" x14ac:dyDescent="0.3"/>
  <cols>
    <col min="1" max="1" width="67.44140625" customWidth="1"/>
    <col min="2" max="2" width="44.88671875" bestFit="1" customWidth="1"/>
    <col min="3" max="5" width="41.33203125" customWidth="1"/>
  </cols>
  <sheetData>
    <row r="1" spans="1:5" x14ac:dyDescent="0.3">
      <c r="A1" s="42"/>
      <c r="B1" s="45" t="s">
        <v>159</v>
      </c>
      <c r="C1" s="45" t="s">
        <v>160</v>
      </c>
      <c r="D1" s="45" t="s">
        <v>161</v>
      </c>
      <c r="E1" s="45" t="s">
        <v>162</v>
      </c>
    </row>
    <row r="2" spans="1:5" x14ac:dyDescent="0.3">
      <c r="A2" s="35" t="s">
        <v>53</v>
      </c>
      <c r="B2" s="44"/>
      <c r="C2" s="44"/>
      <c r="D2" s="44"/>
      <c r="E2" s="44"/>
    </row>
    <row r="3" spans="1:5" x14ac:dyDescent="0.3">
      <c r="A3" s="37" t="s">
        <v>54</v>
      </c>
      <c r="B3" s="84" t="s">
        <v>154</v>
      </c>
      <c r="C3" s="84"/>
      <c r="D3" s="84"/>
      <c r="E3" s="84"/>
    </row>
    <row r="4" spans="1:5" x14ac:dyDescent="0.3">
      <c r="A4" s="37" t="s">
        <v>56</v>
      </c>
      <c r="B4" s="84" t="s">
        <v>154</v>
      </c>
      <c r="C4" s="84"/>
      <c r="D4" s="84"/>
      <c r="E4" s="84"/>
    </row>
    <row r="5" spans="1:5" x14ac:dyDescent="0.3">
      <c r="A5" s="37" t="s">
        <v>57</v>
      </c>
      <c r="B5" s="84" t="s">
        <v>154</v>
      </c>
      <c r="C5" s="84"/>
      <c r="D5" s="84"/>
      <c r="E5" s="84"/>
    </row>
    <row r="6" spans="1:5" x14ac:dyDescent="0.3">
      <c r="A6" s="37" t="s">
        <v>58</v>
      </c>
      <c r="B6" s="84" t="s">
        <v>154</v>
      </c>
      <c r="C6" s="84"/>
      <c r="D6" s="84"/>
      <c r="E6" s="84"/>
    </row>
    <row r="7" spans="1:5" ht="15" thickBot="1" x14ac:dyDescent="0.35">
      <c r="A7" s="37" t="s">
        <v>59</v>
      </c>
      <c r="B7" s="48">
        <v>155</v>
      </c>
      <c r="C7" s="47">
        <f>$B7</f>
        <v>155</v>
      </c>
      <c r="D7" s="47">
        <f t="shared" ref="D7:E10" si="0">$B7</f>
        <v>155</v>
      </c>
      <c r="E7" s="47">
        <f t="shared" si="0"/>
        <v>155</v>
      </c>
    </row>
    <row r="8" spans="1:5" ht="15.6" thickTop="1" thickBot="1" x14ac:dyDescent="0.35">
      <c r="A8" s="37" t="s">
        <v>167</v>
      </c>
      <c r="B8" s="48">
        <v>90</v>
      </c>
      <c r="C8" s="47">
        <f t="shared" ref="C8:C10" si="1">$B8</f>
        <v>90</v>
      </c>
      <c r="D8" s="47">
        <f t="shared" si="0"/>
        <v>90</v>
      </c>
      <c r="E8" s="47">
        <f t="shared" si="0"/>
        <v>90</v>
      </c>
    </row>
    <row r="9" spans="1:5" ht="15.6" thickTop="1" thickBot="1" x14ac:dyDescent="0.35">
      <c r="A9" s="37" t="s">
        <v>166</v>
      </c>
      <c r="B9" s="48">
        <v>10</v>
      </c>
      <c r="C9" s="47">
        <f t="shared" si="1"/>
        <v>10</v>
      </c>
      <c r="D9" s="47">
        <f t="shared" si="0"/>
        <v>10</v>
      </c>
      <c r="E9" s="47">
        <f t="shared" si="0"/>
        <v>10</v>
      </c>
    </row>
    <row r="10" spans="1:5" ht="15.6" thickTop="1" thickBot="1" x14ac:dyDescent="0.35">
      <c r="A10" s="37" t="s">
        <v>168</v>
      </c>
      <c r="B10" s="48">
        <v>80</v>
      </c>
      <c r="C10" s="47">
        <f t="shared" si="1"/>
        <v>80</v>
      </c>
      <c r="D10" s="47">
        <f t="shared" si="0"/>
        <v>80</v>
      </c>
      <c r="E10" s="47">
        <f t="shared" si="0"/>
        <v>80</v>
      </c>
    </row>
    <row r="11" spans="1:5" ht="15" thickTop="1" x14ac:dyDescent="0.3">
      <c r="A11" s="35" t="s">
        <v>60</v>
      </c>
      <c r="B11" s="44"/>
      <c r="C11" s="44"/>
      <c r="D11" s="44"/>
      <c r="E11" s="44"/>
    </row>
    <row r="12" spans="1:5" x14ac:dyDescent="0.3">
      <c r="A12" s="37" t="s">
        <v>155</v>
      </c>
      <c r="B12" s="48">
        <v>70</v>
      </c>
      <c r="C12" s="43">
        <v>80</v>
      </c>
      <c r="D12" s="43">
        <v>47</v>
      </c>
      <c r="E12" s="43">
        <v>15</v>
      </c>
    </row>
    <row r="13" spans="1:5" x14ac:dyDescent="0.3">
      <c r="A13" s="37" t="s">
        <v>156</v>
      </c>
      <c r="B13" s="48">
        <v>51</v>
      </c>
      <c r="C13" s="43">
        <v>55</v>
      </c>
      <c r="D13" s="43">
        <v>50</v>
      </c>
      <c r="E13" s="43">
        <v>0</v>
      </c>
    </row>
    <row r="14" spans="1:5" x14ac:dyDescent="0.3">
      <c r="A14" s="37" t="s">
        <v>61</v>
      </c>
      <c r="B14" s="48">
        <v>1094</v>
      </c>
      <c r="C14" s="43">
        <v>185</v>
      </c>
      <c r="D14" s="43">
        <v>195</v>
      </c>
      <c r="E14" s="43">
        <v>425</v>
      </c>
    </row>
    <row r="15" spans="1:5" x14ac:dyDescent="0.3">
      <c r="A15" s="37" t="s">
        <v>62</v>
      </c>
      <c r="B15" s="84" t="s">
        <v>163</v>
      </c>
      <c r="C15" s="84"/>
      <c r="D15" s="84"/>
      <c r="E15" s="84"/>
    </row>
    <row r="16" spans="1:5" x14ac:dyDescent="0.3">
      <c r="A16" s="37" t="s">
        <v>63</v>
      </c>
      <c r="B16" s="48">
        <v>10</v>
      </c>
      <c r="C16" s="43">
        <v>10</v>
      </c>
      <c r="D16" s="43">
        <v>10</v>
      </c>
      <c r="E16" s="43">
        <v>10</v>
      </c>
    </row>
    <row r="17" spans="1:5" x14ac:dyDescent="0.3">
      <c r="A17" s="37" t="s">
        <v>64</v>
      </c>
      <c r="B17" s="48">
        <v>235</v>
      </c>
      <c r="C17" s="43">
        <v>141</v>
      </c>
      <c r="D17" s="43">
        <v>63.5</v>
      </c>
      <c r="E17" s="9">
        <v>116.5</v>
      </c>
    </row>
    <row r="18" spans="1:5" x14ac:dyDescent="0.3">
      <c r="A18" s="37" t="s">
        <v>65</v>
      </c>
      <c r="B18" s="48">
        <v>235</v>
      </c>
      <c r="C18" s="43">
        <v>141</v>
      </c>
      <c r="D18" s="43">
        <v>63.5</v>
      </c>
      <c r="E18" s="43">
        <v>116.5</v>
      </c>
    </row>
    <row r="19" spans="1:5" x14ac:dyDescent="0.3">
      <c r="A19" s="37" t="s">
        <v>66</v>
      </c>
      <c r="B19" s="48">
        <v>96</v>
      </c>
      <c r="C19" s="43">
        <v>73</v>
      </c>
      <c r="D19" s="43">
        <v>60</v>
      </c>
      <c r="E19" s="43">
        <v>58</v>
      </c>
    </row>
    <row r="20" spans="1:5" x14ac:dyDescent="0.3">
      <c r="A20" s="37" t="s">
        <v>157</v>
      </c>
      <c r="B20" s="48">
        <v>20</v>
      </c>
      <c r="C20" s="43">
        <v>23</v>
      </c>
      <c r="D20" s="43">
        <v>20</v>
      </c>
      <c r="E20" s="43">
        <v>20</v>
      </c>
    </row>
    <row r="21" spans="1:5" x14ac:dyDescent="0.3">
      <c r="A21" s="37" t="s">
        <v>158</v>
      </c>
      <c r="B21" s="48">
        <v>12</v>
      </c>
      <c r="C21" s="43">
        <v>8</v>
      </c>
      <c r="D21" s="43">
        <v>8</v>
      </c>
      <c r="E21" s="43">
        <v>0</v>
      </c>
    </row>
    <row r="22" spans="1:5" x14ac:dyDescent="0.3">
      <c r="A22" s="37" t="s">
        <v>67</v>
      </c>
      <c r="B22" s="84" t="s">
        <v>68</v>
      </c>
      <c r="C22" s="84"/>
      <c r="D22" s="84"/>
      <c r="E22" s="84"/>
    </row>
    <row r="23" spans="1:5" x14ac:dyDescent="0.3">
      <c r="A23" s="35" t="s">
        <v>69</v>
      </c>
      <c r="B23" s="44"/>
      <c r="C23" s="44"/>
      <c r="D23" s="44"/>
      <c r="E23" s="44"/>
    </row>
    <row r="24" spans="1:5" x14ac:dyDescent="0.3">
      <c r="A24" s="37" t="s">
        <v>70</v>
      </c>
      <c r="B24" s="84" t="s">
        <v>174</v>
      </c>
      <c r="C24" s="84"/>
      <c r="D24" s="84"/>
      <c r="E24" s="84"/>
    </row>
    <row r="25" spans="1:5" x14ac:dyDescent="0.3">
      <c r="A25" s="37" t="s">
        <v>71</v>
      </c>
      <c r="B25" s="84" t="s">
        <v>175</v>
      </c>
      <c r="C25" s="84"/>
      <c r="D25" s="84"/>
      <c r="E25" s="84"/>
    </row>
    <row r="26" spans="1:5" x14ac:dyDescent="0.3">
      <c r="A26" s="37" t="s">
        <v>72</v>
      </c>
      <c r="B26" s="84" t="s">
        <v>175</v>
      </c>
      <c r="C26" s="84"/>
      <c r="D26" s="84"/>
      <c r="E26" s="84"/>
    </row>
    <row r="27" spans="1:5" ht="15" thickBot="1" x14ac:dyDescent="0.35">
      <c r="A27" s="37" t="s">
        <v>73</v>
      </c>
      <c r="B27" s="48">
        <v>28</v>
      </c>
      <c r="C27" s="47">
        <f t="shared" ref="C27:E27" si="2">$B27</f>
        <v>28</v>
      </c>
      <c r="D27" s="47">
        <f t="shared" si="2"/>
        <v>28</v>
      </c>
      <c r="E27" s="47">
        <f t="shared" si="2"/>
        <v>28</v>
      </c>
    </row>
    <row r="28" spans="1:5" ht="15" thickTop="1" x14ac:dyDescent="0.3">
      <c r="A28" s="37" t="s">
        <v>74</v>
      </c>
      <c r="B28" s="84" t="s">
        <v>175</v>
      </c>
      <c r="C28" s="84"/>
      <c r="D28" s="84"/>
      <c r="E28" s="84"/>
    </row>
    <row r="29" spans="1:5" x14ac:dyDescent="0.3">
      <c r="A29" s="37" t="s">
        <v>75</v>
      </c>
      <c r="B29" s="84" t="s">
        <v>175</v>
      </c>
      <c r="C29" s="84"/>
      <c r="D29" s="84"/>
      <c r="E29" s="84"/>
    </row>
    <row r="30" spans="1:5" x14ac:dyDescent="0.3">
      <c r="A30" s="37" t="s">
        <v>76</v>
      </c>
      <c r="B30" s="84" t="s">
        <v>175</v>
      </c>
      <c r="C30" s="84"/>
      <c r="D30" s="84"/>
      <c r="E30" s="84"/>
    </row>
  </sheetData>
  <mergeCells count="12">
    <mergeCell ref="B3:E3"/>
    <mergeCell ref="B4:E4"/>
    <mergeCell ref="B5:E5"/>
    <mergeCell ref="B6:E6"/>
    <mergeCell ref="B15:E15"/>
    <mergeCell ref="B29:E29"/>
    <mergeCell ref="B22:E22"/>
    <mergeCell ref="B25:E25"/>
    <mergeCell ref="B28:E28"/>
    <mergeCell ref="B30:E30"/>
    <mergeCell ref="B24:E24"/>
    <mergeCell ref="B26:E26"/>
  </mergeCell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p.&amp;P van &amp;N
afdruk dd.&amp;D</oddHeader>
    <oddFooter>&amp;LAll rights reserved by PB calc &amp; consult BV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4EE9-E49C-418F-AB88-B91F13203E2D}">
  <sheetPr>
    <pageSetUpPr fitToPage="1"/>
  </sheetPr>
  <dimension ref="A1:J173"/>
  <sheetViews>
    <sheetView tabSelected="1" zoomScale="80" zoomScaleNormal="80" workbookViewId="0">
      <pane xSplit="1" ySplit="8" topLeftCell="B9" activePane="bottomRight" state="frozen"/>
      <selection activeCell="B19" sqref="B19"/>
      <selection pane="topRight" activeCell="B19" sqref="B19"/>
      <selection pane="bottomLeft" activeCell="B19" sqref="B19"/>
      <selection pane="bottomRight" activeCell="H33" sqref="H33"/>
    </sheetView>
  </sheetViews>
  <sheetFormatPr defaultColWidth="9.109375" defaultRowHeight="14.4" outlineLevelRow="2" outlineLevelCol="2" x14ac:dyDescent="0.3"/>
  <cols>
    <col min="1" max="1" width="62.5546875" style="41" customWidth="1"/>
    <col min="2" max="2" width="14.44140625" style="6" customWidth="1" outlineLevel="1"/>
    <col min="3" max="3" width="24.44140625" style="6" bestFit="1" customWidth="1" outlineLevel="1"/>
    <col min="4" max="4" width="25" style="6" bestFit="1" customWidth="1" outlineLevel="2"/>
    <col min="5" max="5" width="21.5546875" style="6" bestFit="1" customWidth="1" outlineLevel="2"/>
    <col min="6" max="6" width="11.6640625" style="67" customWidth="1"/>
    <col min="7" max="7" width="6.5546875" style="6" bestFit="1" customWidth="1"/>
    <col min="8" max="8" width="21" style="6" customWidth="1"/>
    <col min="9" max="9" width="23.88671875" style="6" customWidth="1"/>
    <col min="10" max="10" width="189.88671875" style="6" bestFit="1" customWidth="1"/>
    <col min="11" max="16384" width="9.109375" style="6"/>
  </cols>
  <sheetData>
    <row r="1" spans="1:10" s="14" customFormat="1" x14ac:dyDescent="0.3">
      <c r="A1" s="13" t="s">
        <v>204</v>
      </c>
      <c r="F1" s="63"/>
    </row>
    <row r="2" spans="1:10" s="16" customFormat="1" x14ac:dyDescent="0.3">
      <c r="A2" s="15" t="s">
        <v>33</v>
      </c>
      <c r="F2" s="64"/>
    </row>
    <row r="3" spans="1:10" s="18" customFormat="1" x14ac:dyDescent="0.3">
      <c r="A3" s="17" t="s">
        <v>205</v>
      </c>
      <c r="F3" s="65"/>
    </row>
    <row r="4" spans="1:10" s="20" customFormat="1" hidden="1" x14ac:dyDescent="0.3">
      <c r="A4" s="19" t="s">
        <v>34</v>
      </c>
      <c r="F4" s="66"/>
    </row>
    <row r="5" spans="1:10" hidden="1" x14ac:dyDescent="0.3">
      <c r="A5" s="21" t="s">
        <v>35</v>
      </c>
    </row>
    <row r="6" spans="1:10" s="22" customFormat="1" hidden="1" x14ac:dyDescent="0.3">
      <c r="A6" s="22" t="s">
        <v>36</v>
      </c>
      <c r="F6" s="68"/>
    </row>
    <row r="7" spans="1:10" s="24" customFormat="1" x14ac:dyDescent="0.3">
      <c r="A7" s="23"/>
      <c r="F7" s="63"/>
      <c r="G7" s="14"/>
      <c r="H7" s="25" t="s">
        <v>37</v>
      </c>
      <c r="I7" s="26">
        <f>SUBTOTAL(9,I8:I167)</f>
        <v>1520120.9785</v>
      </c>
    </row>
    <row r="8" spans="1:10" s="32" customFormat="1" x14ac:dyDescent="0.3">
      <c r="A8" s="27" t="s">
        <v>38</v>
      </c>
      <c r="B8" s="29" t="s">
        <v>39</v>
      </c>
      <c r="C8" s="28" t="s">
        <v>224</v>
      </c>
      <c r="D8" s="29" t="s">
        <v>15</v>
      </c>
      <c r="E8" s="29" t="s">
        <v>16</v>
      </c>
      <c r="F8" s="69" t="s">
        <v>40</v>
      </c>
      <c r="G8" s="30" t="s">
        <v>41</v>
      </c>
      <c r="H8" s="31" t="s">
        <v>42</v>
      </c>
      <c r="I8" s="31" t="s">
        <v>43</v>
      </c>
      <c r="J8" s="13" t="s">
        <v>25</v>
      </c>
    </row>
    <row r="9" spans="1:10" s="14" customFormat="1" x14ac:dyDescent="0.3">
      <c r="A9" s="33" t="s">
        <v>44</v>
      </c>
      <c r="F9" s="63"/>
      <c r="H9" s="34"/>
      <c r="I9" s="26">
        <f>SUBTOTAL(9,I10:I27)</f>
        <v>0</v>
      </c>
    </row>
    <row r="10" spans="1:10" s="16" customFormat="1" outlineLevel="1" x14ac:dyDescent="0.3">
      <c r="A10" s="35" t="s">
        <v>45</v>
      </c>
      <c r="F10" s="64"/>
      <c r="H10" s="36"/>
      <c r="I10" s="26">
        <f>SUBTOTAL(9,I11:I16)</f>
        <v>0</v>
      </c>
    </row>
    <row r="11" spans="1:10" s="18" customFormat="1" outlineLevel="2" x14ac:dyDescent="0.3">
      <c r="A11" s="37" t="s">
        <v>46</v>
      </c>
      <c r="B11" s="7"/>
      <c r="C11" s="7"/>
      <c r="D11" s="7"/>
      <c r="E11" s="7"/>
      <c r="F11" s="8"/>
      <c r="G11" s="7" t="s">
        <v>55</v>
      </c>
      <c r="H11" s="38"/>
      <c r="I11" s="26">
        <f>F11*H11</f>
        <v>0</v>
      </c>
      <c r="J11" s="39" t="s">
        <v>195</v>
      </c>
    </row>
    <row r="12" spans="1:10" s="18" customFormat="1" outlineLevel="2" x14ac:dyDescent="0.3">
      <c r="A12" s="37" t="s">
        <v>47</v>
      </c>
      <c r="B12" s="7"/>
      <c r="C12" s="7"/>
      <c r="D12" s="7"/>
      <c r="E12" s="7"/>
      <c r="F12" s="8"/>
      <c r="G12" s="7" t="s">
        <v>194</v>
      </c>
      <c r="H12" s="38"/>
      <c r="I12" s="26">
        <f>F12*H12</f>
        <v>0</v>
      </c>
      <c r="J12" s="39" t="s">
        <v>196</v>
      </c>
    </row>
    <row r="13" spans="1:10" s="18" customFormat="1" outlineLevel="2" x14ac:dyDescent="0.3">
      <c r="A13" s="37" t="s">
        <v>48</v>
      </c>
      <c r="B13" s="7"/>
      <c r="C13" s="7"/>
      <c r="D13" s="7"/>
      <c r="E13" s="7"/>
      <c r="F13" s="8"/>
      <c r="G13" s="7" t="s">
        <v>194</v>
      </c>
      <c r="H13" s="38"/>
      <c r="I13" s="26">
        <f>F13*H13</f>
        <v>0</v>
      </c>
      <c r="J13" s="39" t="s">
        <v>196</v>
      </c>
    </row>
    <row r="14" spans="1:10" s="18" customFormat="1" outlineLevel="2" x14ac:dyDescent="0.3">
      <c r="A14" s="37" t="s">
        <v>49</v>
      </c>
      <c r="B14" s="7"/>
      <c r="C14" s="7"/>
      <c r="D14" s="7"/>
      <c r="E14" s="7"/>
      <c r="F14" s="8"/>
      <c r="G14" s="7" t="s">
        <v>194</v>
      </c>
      <c r="H14" s="38"/>
      <c r="I14" s="26">
        <f>F14*H14</f>
        <v>0</v>
      </c>
      <c r="J14" s="39" t="s">
        <v>196</v>
      </c>
    </row>
    <row r="15" spans="1:10" s="18" customFormat="1" outlineLevel="2" x14ac:dyDescent="0.3">
      <c r="A15" s="37" t="s">
        <v>50</v>
      </c>
      <c r="B15" s="7"/>
      <c r="C15" s="7"/>
      <c r="D15" s="7"/>
      <c r="E15" s="7"/>
      <c r="F15" s="8"/>
      <c r="G15" s="7" t="s">
        <v>194</v>
      </c>
      <c r="H15" s="38"/>
      <c r="I15" s="26">
        <f>F15*H15</f>
        <v>0</v>
      </c>
      <c r="J15" s="39" t="s">
        <v>196</v>
      </c>
    </row>
    <row r="16" spans="1:10" s="16" customFormat="1" outlineLevel="1" x14ac:dyDescent="0.3">
      <c r="A16" s="35" t="s">
        <v>51</v>
      </c>
      <c r="F16" s="64"/>
      <c r="H16" s="36"/>
      <c r="I16" s="26">
        <f>SUBTOTAL(9,I17:I19)</f>
        <v>0</v>
      </c>
    </row>
    <row r="17" spans="1:10" s="18" customFormat="1" outlineLevel="2" x14ac:dyDescent="0.3">
      <c r="A17" s="37" t="s">
        <v>247</v>
      </c>
      <c r="B17" s="7"/>
      <c r="C17" s="7"/>
      <c r="D17" s="7"/>
      <c r="E17" s="7"/>
      <c r="F17" s="8"/>
      <c r="G17" s="7" t="s">
        <v>194</v>
      </c>
      <c r="H17" s="38"/>
      <c r="I17" s="26">
        <f>F17*H17</f>
        <v>0</v>
      </c>
      <c r="J17" s="39" t="s">
        <v>197</v>
      </c>
    </row>
    <row r="18" spans="1:10" s="18" customFormat="1" outlineLevel="2" x14ac:dyDescent="0.3">
      <c r="A18" s="37" t="s">
        <v>248</v>
      </c>
      <c r="B18" s="7"/>
      <c r="C18" s="7"/>
      <c r="D18" s="7"/>
      <c r="E18" s="7"/>
      <c r="F18" s="8"/>
      <c r="G18" s="7" t="s">
        <v>194</v>
      </c>
      <c r="H18" s="38"/>
      <c r="I18" s="26">
        <f>F18*H18</f>
        <v>0</v>
      </c>
      <c r="J18" s="39" t="s">
        <v>198</v>
      </c>
    </row>
    <row r="19" spans="1:10" s="16" customFormat="1" outlineLevel="1" x14ac:dyDescent="0.3">
      <c r="A19" s="35" t="s">
        <v>52</v>
      </c>
      <c r="F19" s="64"/>
      <c r="H19" s="36"/>
      <c r="I19" s="26">
        <f>SUBTOTAL(9,I20:I27)</f>
        <v>0</v>
      </c>
    </row>
    <row r="20" spans="1:10" s="18" customFormat="1" outlineLevel="2" x14ac:dyDescent="0.3">
      <c r="A20" s="37" t="s">
        <v>249</v>
      </c>
      <c r="B20" s="7"/>
      <c r="C20" s="7"/>
      <c r="D20" s="7"/>
      <c r="E20" s="7"/>
      <c r="F20" s="8"/>
      <c r="G20" s="7" t="s">
        <v>55</v>
      </c>
      <c r="H20" s="38"/>
      <c r="I20" s="26">
        <f t="shared" ref="I20:I27" si="0">F20*H20</f>
        <v>0</v>
      </c>
      <c r="J20" s="39" t="s">
        <v>199</v>
      </c>
    </row>
    <row r="21" spans="1:10" s="18" customFormat="1" outlineLevel="2" x14ac:dyDescent="0.3">
      <c r="A21" s="37" t="s">
        <v>250</v>
      </c>
      <c r="B21" s="7"/>
      <c r="C21" s="7"/>
      <c r="D21" s="7"/>
      <c r="E21" s="7"/>
      <c r="F21" s="8"/>
      <c r="G21" s="7" t="s">
        <v>55</v>
      </c>
      <c r="H21" s="38"/>
      <c r="I21" s="26">
        <f>F21*H21</f>
        <v>0</v>
      </c>
      <c r="J21" s="39" t="s">
        <v>201</v>
      </c>
    </row>
    <row r="22" spans="1:10" s="18" customFormat="1" outlineLevel="2" x14ac:dyDescent="0.3">
      <c r="A22" s="37" t="s">
        <v>251</v>
      </c>
      <c r="B22" s="7"/>
      <c r="C22" s="7"/>
      <c r="D22" s="7"/>
      <c r="E22" s="7"/>
      <c r="F22" s="8"/>
      <c r="G22" s="7" t="s">
        <v>55</v>
      </c>
      <c r="H22" s="38"/>
      <c r="I22" s="26">
        <f t="shared" si="0"/>
        <v>0</v>
      </c>
      <c r="J22" s="39" t="s">
        <v>199</v>
      </c>
    </row>
    <row r="23" spans="1:10" s="18" customFormat="1" outlineLevel="2" x14ac:dyDescent="0.3">
      <c r="A23" s="37" t="s">
        <v>252</v>
      </c>
      <c r="B23" s="7"/>
      <c r="C23" s="7"/>
      <c r="D23" s="7"/>
      <c r="E23" s="7"/>
      <c r="F23" s="8"/>
      <c r="G23" s="7" t="s">
        <v>55</v>
      </c>
      <c r="H23" s="38"/>
      <c r="I23" s="26">
        <f>F23*H23</f>
        <v>0</v>
      </c>
      <c r="J23" s="39" t="s">
        <v>201</v>
      </c>
    </row>
    <row r="24" spans="1:10" s="18" customFormat="1" outlineLevel="2" x14ac:dyDescent="0.3">
      <c r="A24" s="37" t="s">
        <v>253</v>
      </c>
      <c r="B24" s="7"/>
      <c r="C24" s="7"/>
      <c r="D24" s="7"/>
      <c r="E24" s="7"/>
      <c r="F24" s="8"/>
      <c r="G24" s="7" t="s">
        <v>55</v>
      </c>
      <c r="H24" s="38"/>
      <c r="I24" s="26">
        <f t="shared" si="0"/>
        <v>0</v>
      </c>
      <c r="J24" s="39" t="s">
        <v>199</v>
      </c>
    </row>
    <row r="25" spans="1:10" s="18" customFormat="1" outlineLevel="2" x14ac:dyDescent="0.3">
      <c r="A25" s="37" t="s">
        <v>254</v>
      </c>
      <c r="B25" s="7"/>
      <c r="C25" s="7"/>
      <c r="D25" s="7"/>
      <c r="E25" s="7"/>
      <c r="F25" s="8"/>
      <c r="G25" s="7" t="s">
        <v>55</v>
      </c>
      <c r="H25" s="38"/>
      <c r="I25" s="26">
        <f t="shared" si="0"/>
        <v>0</v>
      </c>
      <c r="J25" s="39" t="s">
        <v>199</v>
      </c>
    </row>
    <row r="26" spans="1:10" s="18" customFormat="1" outlineLevel="2" x14ac:dyDescent="0.3">
      <c r="A26" s="37" t="s">
        <v>255</v>
      </c>
      <c r="B26" s="7"/>
      <c r="C26" s="7"/>
      <c r="D26" s="7"/>
      <c r="E26" s="7"/>
      <c r="F26" s="8"/>
      <c r="G26" s="7" t="s">
        <v>55</v>
      </c>
      <c r="H26" s="38"/>
      <c r="I26" s="26">
        <f t="shared" si="0"/>
        <v>0</v>
      </c>
      <c r="J26" s="39" t="s">
        <v>201</v>
      </c>
    </row>
    <row r="27" spans="1:10" s="18" customFormat="1" outlineLevel="2" x14ac:dyDescent="0.3">
      <c r="A27" s="37" t="s">
        <v>256</v>
      </c>
      <c r="B27" s="7"/>
      <c r="C27" s="7"/>
      <c r="D27" s="7"/>
      <c r="E27" s="7"/>
      <c r="F27" s="8"/>
      <c r="G27" s="7" t="s">
        <v>194</v>
      </c>
      <c r="H27" s="38"/>
      <c r="I27" s="26">
        <f t="shared" si="0"/>
        <v>0</v>
      </c>
      <c r="J27" s="39" t="s">
        <v>200</v>
      </c>
    </row>
    <row r="28" spans="1:10" s="14" customFormat="1" ht="15" thickBot="1" x14ac:dyDescent="0.35">
      <c r="A28" s="33" t="s">
        <v>246</v>
      </c>
      <c r="F28" s="79">
        <f>'opmeting NBN EN15221-6'!J1</f>
        <v>408.5</v>
      </c>
      <c r="H28" s="80">
        <f>I28/F28</f>
        <v>3497.3169608323133</v>
      </c>
      <c r="I28" s="26">
        <f>SUBTOTAL(9,I29:I86)</f>
        <v>1428653.9785</v>
      </c>
      <c r="J28" s="33" t="s">
        <v>281</v>
      </c>
    </row>
    <row r="29" spans="1:10" s="16" customFormat="1" ht="15.6" outlineLevel="1" thickTop="1" thickBot="1" x14ac:dyDescent="0.35">
      <c r="A29" s="35" t="s">
        <v>53</v>
      </c>
      <c r="F29" s="77">
        <f>$F$28</f>
        <v>408.5</v>
      </c>
      <c r="H29" s="80">
        <f>I29/F29</f>
        <v>2402.5826193390453</v>
      </c>
      <c r="I29" s="26">
        <f>SUBTOTAL(9,I30:I49)</f>
        <v>981455</v>
      </c>
      <c r="J29" s="35" t="s">
        <v>281</v>
      </c>
    </row>
    <row r="30" spans="1:10" s="18" customFormat="1" ht="15.6" outlineLevel="2" thickTop="1" thickBot="1" x14ac:dyDescent="0.35">
      <c r="A30" s="37" t="s">
        <v>54</v>
      </c>
      <c r="B30" s="7" t="s">
        <v>235</v>
      </c>
      <c r="C30" s="7" t="s">
        <v>241</v>
      </c>
      <c r="D30" s="7" t="s">
        <v>272</v>
      </c>
      <c r="E30" s="7" t="s">
        <v>242</v>
      </c>
      <c r="F30" s="76">
        <f>'opmeting NBN EN15221-6'!O3</f>
        <v>178.9</v>
      </c>
      <c r="G30" s="7" t="s">
        <v>55</v>
      </c>
      <c r="H30" s="38">
        <v>185</v>
      </c>
      <c r="I30" s="26">
        <f t="shared" ref="I30:I48" si="1">F30*H30</f>
        <v>33096.5</v>
      </c>
      <c r="J30" s="39" t="s">
        <v>271</v>
      </c>
    </row>
    <row r="31" spans="1:10" s="18" customFormat="1" ht="15.6" outlineLevel="2" thickTop="1" thickBot="1" x14ac:dyDescent="0.35">
      <c r="A31" s="37" t="s">
        <v>56</v>
      </c>
      <c r="B31" s="7" t="s">
        <v>235</v>
      </c>
      <c r="C31" s="7" t="s">
        <v>241</v>
      </c>
      <c r="D31" s="7" t="s">
        <v>236</v>
      </c>
      <c r="E31" s="7" t="s">
        <v>242</v>
      </c>
      <c r="F31" s="76">
        <f>'opmeting NBN EN15221-6'!N3</f>
        <v>50.699999999999989</v>
      </c>
      <c r="G31" s="7" t="s">
        <v>55</v>
      </c>
      <c r="H31" s="78">
        <f>H30</f>
        <v>185</v>
      </c>
      <c r="I31" s="26">
        <f t="shared" si="1"/>
        <v>9379.4999999999982</v>
      </c>
      <c r="J31" s="39" t="s">
        <v>294</v>
      </c>
    </row>
    <row r="32" spans="1:10" s="18" customFormat="1" ht="15.6" outlineLevel="2" thickTop="1" thickBot="1" x14ac:dyDescent="0.35">
      <c r="A32" s="37" t="s">
        <v>56</v>
      </c>
      <c r="B32" s="7" t="s">
        <v>235</v>
      </c>
      <c r="C32" s="7" t="s">
        <v>241</v>
      </c>
      <c r="D32" s="7" t="s">
        <v>236</v>
      </c>
      <c r="E32" s="7" t="s">
        <v>242</v>
      </c>
      <c r="F32" s="76">
        <f>'opmeting NBN EN15221-6'!F3</f>
        <v>178.9</v>
      </c>
      <c r="G32" s="7" t="s">
        <v>55</v>
      </c>
      <c r="H32" s="38">
        <v>260</v>
      </c>
      <c r="I32" s="26">
        <f t="shared" ref="I32" si="2">F32*H32</f>
        <v>46514</v>
      </c>
      <c r="J32" s="39" t="s">
        <v>274</v>
      </c>
    </row>
    <row r="33" spans="1:10" s="18" customFormat="1" ht="15.6" outlineLevel="2" thickTop="1" thickBot="1" x14ac:dyDescent="0.35">
      <c r="A33" s="37" t="s">
        <v>56</v>
      </c>
      <c r="B33" s="7" t="s">
        <v>235</v>
      </c>
      <c r="C33" s="7" t="s">
        <v>241</v>
      </c>
      <c r="D33" s="7" t="s">
        <v>238</v>
      </c>
      <c r="E33" s="7" t="s">
        <v>242</v>
      </c>
      <c r="F33" s="76">
        <f>'opmeting NBN EN15221-6'!F5</f>
        <v>229.6</v>
      </c>
      <c r="G33" s="7" t="s">
        <v>55</v>
      </c>
      <c r="H33" s="38">
        <v>370</v>
      </c>
      <c r="I33" s="26">
        <f t="shared" ref="I33" si="3">F33*H33</f>
        <v>84952</v>
      </c>
      <c r="J33" s="39" t="s">
        <v>275</v>
      </c>
    </row>
    <row r="34" spans="1:10" s="18" customFormat="1" ht="15.6" outlineLevel="2" thickTop="1" thickBot="1" x14ac:dyDescent="0.35">
      <c r="A34" s="37" t="s">
        <v>57</v>
      </c>
      <c r="B34" s="7" t="s">
        <v>235</v>
      </c>
      <c r="C34" s="7" t="s">
        <v>241</v>
      </c>
      <c r="D34" s="7" t="s">
        <v>243</v>
      </c>
      <c r="E34" s="7" t="s">
        <v>242</v>
      </c>
      <c r="F34" s="76">
        <f>'opmeting NBN EN15221-6'!L7</f>
        <v>229.6</v>
      </c>
      <c r="G34" s="7" t="s">
        <v>55</v>
      </c>
      <c r="H34" s="38">
        <v>235</v>
      </c>
      <c r="I34" s="26">
        <f t="shared" si="1"/>
        <v>53956</v>
      </c>
      <c r="J34" s="39" t="s">
        <v>276</v>
      </c>
    </row>
    <row r="35" spans="1:10" s="18" customFormat="1" ht="15.6" outlineLevel="2" thickTop="1" thickBot="1" x14ac:dyDescent="0.35">
      <c r="A35" s="37" t="s">
        <v>58</v>
      </c>
      <c r="B35" s="7" t="s">
        <v>235</v>
      </c>
      <c r="C35" s="7" t="s">
        <v>241</v>
      </c>
      <c r="D35" s="7" t="s">
        <v>236</v>
      </c>
      <c r="E35" s="7" t="s">
        <v>242</v>
      </c>
      <c r="F35" s="76">
        <f>'opmeting NBN EN15221-6'!M3</f>
        <v>194.25</v>
      </c>
      <c r="G35" s="7" t="s">
        <v>55</v>
      </c>
      <c r="H35" s="38">
        <v>690</v>
      </c>
      <c r="I35" s="26">
        <f t="shared" si="1"/>
        <v>134032.5</v>
      </c>
      <c r="J35" s="39" t="s">
        <v>244</v>
      </c>
    </row>
    <row r="36" spans="1:10" s="18" customFormat="1" ht="15.6" outlineLevel="2" thickTop="1" thickBot="1" x14ac:dyDescent="0.35">
      <c r="A36" s="37" t="s">
        <v>58</v>
      </c>
      <c r="B36" s="7" t="s">
        <v>235</v>
      </c>
      <c r="C36" s="7" t="s">
        <v>241</v>
      </c>
      <c r="D36" s="7" t="s">
        <v>236</v>
      </c>
      <c r="E36" s="7" t="s">
        <v>242</v>
      </c>
      <c r="F36" s="76">
        <f>'opmeting NBN EN15221-6'!M4</f>
        <v>9.75</v>
      </c>
      <c r="G36" s="7" t="s">
        <v>55</v>
      </c>
      <c r="H36" s="38">
        <v>1920</v>
      </c>
      <c r="I36" s="26">
        <f t="shared" ref="I36:I37" si="4">F36*H36</f>
        <v>18720</v>
      </c>
      <c r="J36" s="39" t="s">
        <v>245</v>
      </c>
    </row>
    <row r="37" spans="1:10" s="18" customFormat="1" ht="15.6" outlineLevel="2" thickTop="1" thickBot="1" x14ac:dyDescent="0.35">
      <c r="A37" s="37" t="s">
        <v>58</v>
      </c>
      <c r="B37" s="7" t="s">
        <v>235</v>
      </c>
      <c r="C37" s="7" t="s">
        <v>241</v>
      </c>
      <c r="D37" s="7" t="s">
        <v>238</v>
      </c>
      <c r="E37" s="7" t="s">
        <v>242</v>
      </c>
      <c r="F37" s="76">
        <f>'opmeting NBN EN15221-6'!M5</f>
        <v>330</v>
      </c>
      <c r="G37" s="7" t="s">
        <v>55</v>
      </c>
      <c r="H37" s="38">
        <v>690</v>
      </c>
      <c r="I37" s="26">
        <f t="shared" si="4"/>
        <v>227700</v>
      </c>
      <c r="J37" s="39" t="s">
        <v>244</v>
      </c>
    </row>
    <row r="38" spans="1:10" s="18" customFormat="1" ht="15.6" outlineLevel="2" thickTop="1" thickBot="1" x14ac:dyDescent="0.35">
      <c r="A38" s="37" t="s">
        <v>58</v>
      </c>
      <c r="B38" s="7" t="s">
        <v>235</v>
      </c>
      <c r="C38" s="7" t="s">
        <v>241</v>
      </c>
      <c r="D38" s="7" t="s">
        <v>238</v>
      </c>
      <c r="E38" s="7" t="s">
        <v>242</v>
      </c>
      <c r="F38" s="76">
        <f>'opmeting NBN EN15221-6'!M6</f>
        <v>90</v>
      </c>
      <c r="G38" s="7" t="s">
        <v>55</v>
      </c>
      <c r="H38" s="38">
        <v>1920</v>
      </c>
      <c r="I38" s="26">
        <f t="shared" ref="I38" si="5">F38*H38</f>
        <v>172800</v>
      </c>
      <c r="J38" s="39" t="s">
        <v>245</v>
      </c>
    </row>
    <row r="39" spans="1:10" s="18" customFormat="1" ht="15.6" outlineLevel="2" thickTop="1" thickBot="1" x14ac:dyDescent="0.35">
      <c r="A39" s="37" t="s">
        <v>257</v>
      </c>
      <c r="B39" s="7" t="s">
        <v>235</v>
      </c>
      <c r="C39" s="7" t="s">
        <v>241</v>
      </c>
      <c r="D39" s="7" t="s">
        <v>236</v>
      </c>
      <c r="E39" s="7" t="s">
        <v>242</v>
      </c>
      <c r="F39" s="76">
        <f>'opmeting NBN EN15221-6'!$F$3</f>
        <v>178.9</v>
      </c>
      <c r="G39" s="7" t="s">
        <v>55</v>
      </c>
      <c r="H39" s="38">
        <v>240</v>
      </c>
      <c r="I39" s="26">
        <f t="shared" si="1"/>
        <v>42936</v>
      </c>
      <c r="J39" s="39" t="s">
        <v>278</v>
      </c>
    </row>
    <row r="40" spans="1:10" s="18" customFormat="1" ht="15.6" outlineLevel="2" thickTop="1" thickBot="1" x14ac:dyDescent="0.35">
      <c r="A40" s="37" t="s">
        <v>257</v>
      </c>
      <c r="B40" s="7" t="s">
        <v>235</v>
      </c>
      <c r="C40" s="7" t="s">
        <v>241</v>
      </c>
      <c r="D40" s="7" t="s">
        <v>238</v>
      </c>
      <c r="E40" s="7" t="s">
        <v>242</v>
      </c>
      <c r="F40" s="76">
        <f>'opmeting NBN EN15221-6'!$F$5</f>
        <v>229.6</v>
      </c>
      <c r="G40" s="7" t="s">
        <v>55</v>
      </c>
      <c r="H40" s="78">
        <f>H39</f>
        <v>240</v>
      </c>
      <c r="I40" s="26">
        <f t="shared" ref="I40" si="6">F40*H40</f>
        <v>55104</v>
      </c>
      <c r="J40" s="39" t="s">
        <v>278</v>
      </c>
    </row>
    <row r="41" spans="1:10" s="18" customFormat="1" ht="15.6" outlineLevel="2" thickTop="1" thickBot="1" x14ac:dyDescent="0.35">
      <c r="A41" s="37" t="s">
        <v>258</v>
      </c>
      <c r="B41" s="7" t="s">
        <v>235</v>
      </c>
      <c r="C41" s="7" t="s">
        <v>241</v>
      </c>
      <c r="D41" s="7" t="s">
        <v>236</v>
      </c>
      <c r="E41" s="7" t="s">
        <v>242</v>
      </c>
      <c r="F41" s="76">
        <f>'opmeting NBN EN15221-6'!$F$3</f>
        <v>178.9</v>
      </c>
      <c r="G41" s="7" t="s">
        <v>55</v>
      </c>
      <c r="H41" s="38">
        <v>125</v>
      </c>
      <c r="I41" s="26">
        <f t="shared" si="1"/>
        <v>22362.5</v>
      </c>
      <c r="J41" s="39" t="s">
        <v>278</v>
      </c>
    </row>
    <row r="42" spans="1:10" s="18" customFormat="1" ht="15.6" outlineLevel="2" thickTop="1" thickBot="1" x14ac:dyDescent="0.35">
      <c r="A42" s="37" t="s">
        <v>258</v>
      </c>
      <c r="B42" s="7" t="s">
        <v>235</v>
      </c>
      <c r="C42" s="7" t="s">
        <v>241</v>
      </c>
      <c r="D42" s="7" t="s">
        <v>238</v>
      </c>
      <c r="E42" s="7" t="s">
        <v>242</v>
      </c>
      <c r="F42" s="76">
        <f>'opmeting NBN EN15221-6'!$F$5</f>
        <v>229.6</v>
      </c>
      <c r="G42" s="7" t="s">
        <v>55</v>
      </c>
      <c r="H42" s="78">
        <f>H41</f>
        <v>125</v>
      </c>
      <c r="I42" s="26">
        <f t="shared" ref="I42:I43" si="7">F42*H42</f>
        <v>28700</v>
      </c>
      <c r="J42" s="39" t="s">
        <v>278</v>
      </c>
    </row>
    <row r="43" spans="1:10" s="18" customFormat="1" ht="15" outlineLevel="2" thickTop="1" x14ac:dyDescent="0.3">
      <c r="A43" s="37" t="s">
        <v>189</v>
      </c>
      <c r="B43" s="7"/>
      <c r="C43" s="7"/>
      <c r="D43" s="7"/>
      <c r="E43" s="56"/>
      <c r="F43" s="8"/>
      <c r="G43" s="7" t="s">
        <v>55</v>
      </c>
      <c r="H43" s="38"/>
      <c r="I43" s="26">
        <f t="shared" si="7"/>
        <v>0</v>
      </c>
      <c r="J43" s="39" t="s">
        <v>290</v>
      </c>
    </row>
    <row r="44" spans="1:10" s="18" customFormat="1" outlineLevel="2" x14ac:dyDescent="0.3">
      <c r="A44" s="37" t="s">
        <v>190</v>
      </c>
      <c r="B44" s="7" t="s">
        <v>235</v>
      </c>
      <c r="C44" s="7" t="s">
        <v>241</v>
      </c>
      <c r="D44" s="7" t="s">
        <v>238</v>
      </c>
      <c r="E44" s="7" t="s">
        <v>242</v>
      </c>
      <c r="F44" s="8">
        <v>1</v>
      </c>
      <c r="G44" s="7" t="s">
        <v>202</v>
      </c>
      <c r="H44" s="38">
        <v>7100</v>
      </c>
      <c r="I44" s="26">
        <f t="shared" si="1"/>
        <v>7100</v>
      </c>
      <c r="J44" s="39" t="s">
        <v>203</v>
      </c>
    </row>
    <row r="45" spans="1:10" s="18" customFormat="1" outlineLevel="2" x14ac:dyDescent="0.3">
      <c r="A45" s="37" t="s">
        <v>191</v>
      </c>
      <c r="B45" s="7"/>
      <c r="C45" s="7"/>
      <c r="D45" s="7"/>
      <c r="E45" s="56"/>
      <c r="F45" s="8"/>
      <c r="G45" s="7" t="s">
        <v>202</v>
      </c>
      <c r="H45" s="38"/>
      <c r="I45" s="26">
        <f t="shared" si="1"/>
        <v>0</v>
      </c>
      <c r="J45" s="39" t="s">
        <v>203</v>
      </c>
    </row>
    <row r="46" spans="1:10" s="18" customFormat="1" ht="15" outlineLevel="2" thickBot="1" x14ac:dyDescent="0.35">
      <c r="A46" s="37" t="s">
        <v>192</v>
      </c>
      <c r="B46" s="7" t="s">
        <v>235</v>
      </c>
      <c r="C46" s="7" t="s">
        <v>241</v>
      </c>
      <c r="D46" s="7" t="s">
        <v>236</v>
      </c>
      <c r="E46" s="7" t="s">
        <v>242</v>
      </c>
      <c r="F46" s="76">
        <f>'opmeting NBN EN15221-6'!$F$3</f>
        <v>178.9</v>
      </c>
      <c r="G46" s="7" t="s">
        <v>55</v>
      </c>
      <c r="H46" s="38">
        <v>85</v>
      </c>
      <c r="I46" s="26">
        <f t="shared" si="1"/>
        <v>15206.5</v>
      </c>
      <c r="J46" s="39" t="s">
        <v>278</v>
      </c>
    </row>
    <row r="47" spans="1:10" s="18" customFormat="1" ht="15.6" outlineLevel="2" thickTop="1" thickBot="1" x14ac:dyDescent="0.35">
      <c r="A47" s="37" t="s">
        <v>192</v>
      </c>
      <c r="B47" s="7" t="s">
        <v>235</v>
      </c>
      <c r="C47" s="7" t="s">
        <v>241</v>
      </c>
      <c r="D47" s="7" t="s">
        <v>238</v>
      </c>
      <c r="E47" s="7" t="s">
        <v>242</v>
      </c>
      <c r="F47" s="76">
        <f>'opmeting NBN EN15221-6'!$F$5</f>
        <v>229.6</v>
      </c>
      <c r="G47" s="7" t="s">
        <v>55</v>
      </c>
      <c r="H47" s="78">
        <f>H46</f>
        <v>85</v>
      </c>
      <c r="I47" s="26">
        <f t="shared" ref="I47" si="8">F47*H47</f>
        <v>19516</v>
      </c>
      <c r="J47" s="39" t="s">
        <v>278</v>
      </c>
    </row>
    <row r="48" spans="1:10" s="18" customFormat="1" ht="15.6" outlineLevel="2" thickTop="1" thickBot="1" x14ac:dyDescent="0.35">
      <c r="A48" s="37" t="s">
        <v>193</v>
      </c>
      <c r="B48" s="7" t="s">
        <v>235</v>
      </c>
      <c r="C48" s="7" t="s">
        <v>241</v>
      </c>
      <c r="D48" s="7" t="s">
        <v>236</v>
      </c>
      <c r="E48" s="7" t="s">
        <v>242</v>
      </c>
      <c r="F48" s="76">
        <f>'opmeting NBN EN15221-6'!N3</f>
        <v>50.699999999999989</v>
      </c>
      <c r="G48" s="7" t="s">
        <v>55</v>
      </c>
      <c r="H48" s="38">
        <v>185</v>
      </c>
      <c r="I48" s="26">
        <f t="shared" si="1"/>
        <v>9379.4999999999982</v>
      </c>
      <c r="J48" s="39" t="s">
        <v>283</v>
      </c>
    </row>
    <row r="49" spans="1:10" s="16" customFormat="1" ht="15.6" outlineLevel="1" thickTop="1" thickBot="1" x14ac:dyDescent="0.35">
      <c r="A49" s="35" t="s">
        <v>284</v>
      </c>
      <c r="F49" s="77">
        <f>$F$28</f>
        <v>408.5</v>
      </c>
      <c r="H49" s="80">
        <f>I49/F49</f>
        <v>836.89718482252147</v>
      </c>
      <c r="I49" s="26">
        <f>SUBTOTAL(9,I50:I64)</f>
        <v>341872.5</v>
      </c>
      <c r="J49" s="35" t="s">
        <v>281</v>
      </c>
    </row>
    <row r="50" spans="1:10" s="18" customFormat="1" ht="15.6" outlineLevel="2" thickTop="1" thickBot="1" x14ac:dyDescent="0.35">
      <c r="A50" s="37" t="s">
        <v>259</v>
      </c>
      <c r="B50" s="7" t="s">
        <v>235</v>
      </c>
      <c r="C50" s="7" t="s">
        <v>241</v>
      </c>
      <c r="D50" s="7" t="s">
        <v>238</v>
      </c>
      <c r="E50" s="7" t="s">
        <v>242</v>
      </c>
      <c r="F50" s="76">
        <f>'opmeting NBN EN15221-6'!$F$3</f>
        <v>178.9</v>
      </c>
      <c r="G50" s="7" t="s">
        <v>55</v>
      </c>
      <c r="H50" s="38">
        <v>90</v>
      </c>
      <c r="I50" s="26">
        <f>F50*H50</f>
        <v>16101</v>
      </c>
      <c r="J50" s="39" t="s">
        <v>278</v>
      </c>
    </row>
    <row r="51" spans="1:10" s="18" customFormat="1" ht="15.6" outlineLevel="2" thickTop="1" thickBot="1" x14ac:dyDescent="0.35">
      <c r="A51" s="37" t="s">
        <v>259</v>
      </c>
      <c r="B51" s="7" t="s">
        <v>235</v>
      </c>
      <c r="C51" s="7" t="s">
        <v>241</v>
      </c>
      <c r="D51" s="7" t="s">
        <v>236</v>
      </c>
      <c r="E51" s="7" t="s">
        <v>242</v>
      </c>
      <c r="F51" s="76">
        <f>'opmeting NBN EN15221-6'!$F$5</f>
        <v>229.6</v>
      </c>
      <c r="G51" s="7" t="s">
        <v>55</v>
      </c>
      <c r="H51" s="78">
        <f>H50</f>
        <v>90</v>
      </c>
      <c r="I51" s="26">
        <f>F51*H51</f>
        <v>20664</v>
      </c>
      <c r="J51" s="39" t="s">
        <v>278</v>
      </c>
    </row>
    <row r="52" spans="1:10" s="18" customFormat="1" ht="15.6" outlineLevel="2" thickTop="1" thickBot="1" x14ac:dyDescent="0.35">
      <c r="A52" s="37" t="s">
        <v>260</v>
      </c>
      <c r="B52" s="7" t="s">
        <v>235</v>
      </c>
      <c r="C52" s="7" t="s">
        <v>241</v>
      </c>
      <c r="D52" s="7" t="s">
        <v>238</v>
      </c>
      <c r="E52" s="7" t="s">
        <v>242</v>
      </c>
      <c r="F52" s="76">
        <f>'opmeting NBN EN15221-6'!$F$3</f>
        <v>178.9</v>
      </c>
      <c r="G52" s="7" t="s">
        <v>55</v>
      </c>
      <c r="H52" s="38">
        <v>370</v>
      </c>
      <c r="I52" s="26">
        <f t="shared" ref="I52:I63" si="9">F52*H52</f>
        <v>66193</v>
      </c>
      <c r="J52" s="39" t="s">
        <v>278</v>
      </c>
    </row>
    <row r="53" spans="1:10" s="18" customFormat="1" ht="15.6" outlineLevel="2" thickTop="1" thickBot="1" x14ac:dyDescent="0.35">
      <c r="A53" s="37" t="s">
        <v>260</v>
      </c>
      <c r="B53" s="7" t="s">
        <v>235</v>
      </c>
      <c r="C53" s="7" t="s">
        <v>241</v>
      </c>
      <c r="D53" s="7" t="s">
        <v>236</v>
      </c>
      <c r="E53" s="7" t="s">
        <v>242</v>
      </c>
      <c r="F53" s="76">
        <f>'opmeting NBN EN15221-6'!$F$5</f>
        <v>229.6</v>
      </c>
      <c r="G53" s="7" t="s">
        <v>55</v>
      </c>
      <c r="H53" s="78">
        <f>H52</f>
        <v>370</v>
      </c>
      <c r="I53" s="26">
        <f t="shared" ref="I53:I54" si="10">F53*H53</f>
        <v>84952</v>
      </c>
      <c r="J53" s="39" t="s">
        <v>278</v>
      </c>
    </row>
    <row r="54" spans="1:10" s="18" customFormat="1" ht="15.6" outlineLevel="2" thickTop="1" thickBot="1" x14ac:dyDescent="0.35">
      <c r="A54" s="37" t="s">
        <v>261</v>
      </c>
      <c r="B54" s="7" t="s">
        <v>235</v>
      </c>
      <c r="C54" s="7" t="s">
        <v>241</v>
      </c>
      <c r="D54" s="7" t="s">
        <v>238</v>
      </c>
      <c r="E54" s="7" t="s">
        <v>242</v>
      </c>
      <c r="F54" s="76">
        <f>'opmeting NBN EN15221-6'!$F$3</f>
        <v>178.9</v>
      </c>
      <c r="G54" s="7" t="s">
        <v>55</v>
      </c>
      <c r="H54" s="38">
        <v>10</v>
      </c>
      <c r="I54" s="26">
        <f t="shared" si="10"/>
        <v>1789</v>
      </c>
      <c r="J54" s="39" t="s">
        <v>278</v>
      </c>
    </row>
    <row r="55" spans="1:10" s="18" customFormat="1" ht="15.6" outlineLevel="2" thickTop="1" thickBot="1" x14ac:dyDescent="0.35">
      <c r="A55" s="37" t="s">
        <v>261</v>
      </c>
      <c r="B55" s="7" t="s">
        <v>235</v>
      </c>
      <c r="C55" s="7" t="s">
        <v>241</v>
      </c>
      <c r="D55" s="7" t="s">
        <v>236</v>
      </c>
      <c r="E55" s="7" t="s">
        <v>242</v>
      </c>
      <c r="F55" s="76">
        <f>'opmeting NBN EN15221-6'!$F$5</f>
        <v>229.6</v>
      </c>
      <c r="G55" s="7" t="s">
        <v>55</v>
      </c>
      <c r="H55" s="78">
        <f>H54</f>
        <v>10</v>
      </c>
      <c r="I55" s="26">
        <f t="shared" ref="I55:I56" si="11">F55*H55</f>
        <v>2296</v>
      </c>
      <c r="J55" s="39" t="s">
        <v>278</v>
      </c>
    </row>
    <row r="56" spans="1:10" s="18" customFormat="1" ht="15.6" outlineLevel="2" thickTop="1" thickBot="1" x14ac:dyDescent="0.35">
      <c r="A56" s="37" t="s">
        <v>262</v>
      </c>
      <c r="B56" s="7" t="s">
        <v>235</v>
      </c>
      <c r="C56" s="7" t="s">
        <v>241</v>
      </c>
      <c r="D56" s="7" t="s">
        <v>238</v>
      </c>
      <c r="E56" s="7" t="s">
        <v>242</v>
      </c>
      <c r="F56" s="76">
        <f>'opmeting NBN EN15221-6'!$F$3</f>
        <v>178.9</v>
      </c>
      <c r="G56" s="7" t="s">
        <v>55</v>
      </c>
      <c r="H56" s="38">
        <v>70</v>
      </c>
      <c r="I56" s="26">
        <f t="shared" si="11"/>
        <v>12523</v>
      </c>
      <c r="J56" s="39" t="s">
        <v>278</v>
      </c>
    </row>
    <row r="57" spans="1:10" s="18" customFormat="1" ht="15.6" outlineLevel="2" thickTop="1" thickBot="1" x14ac:dyDescent="0.35">
      <c r="A57" s="37" t="s">
        <v>262</v>
      </c>
      <c r="B57" s="7" t="s">
        <v>235</v>
      </c>
      <c r="C57" s="7" t="s">
        <v>241</v>
      </c>
      <c r="D57" s="7" t="s">
        <v>236</v>
      </c>
      <c r="E57" s="7" t="s">
        <v>242</v>
      </c>
      <c r="F57" s="76">
        <f>'opmeting NBN EN15221-6'!$F$5</f>
        <v>229.6</v>
      </c>
      <c r="G57" s="7" t="s">
        <v>55</v>
      </c>
      <c r="H57" s="78">
        <f>H56</f>
        <v>70</v>
      </c>
      <c r="I57" s="26">
        <f t="shared" ref="I57:I58" si="12">F57*H57</f>
        <v>16072</v>
      </c>
      <c r="J57" s="39" t="s">
        <v>278</v>
      </c>
    </row>
    <row r="58" spans="1:10" s="18" customFormat="1" ht="30" outlineLevel="2" thickTop="1" thickBot="1" x14ac:dyDescent="0.35">
      <c r="A58" s="37" t="s">
        <v>263</v>
      </c>
      <c r="B58" s="7" t="s">
        <v>235</v>
      </c>
      <c r="C58" s="7" t="s">
        <v>241</v>
      </c>
      <c r="D58" s="7" t="s">
        <v>238</v>
      </c>
      <c r="E58" s="7" t="s">
        <v>242</v>
      </c>
      <c r="F58" s="76">
        <f>'opmeting NBN EN15221-6'!$F$3</f>
        <v>178.9</v>
      </c>
      <c r="G58" s="7" t="s">
        <v>55</v>
      </c>
      <c r="H58" s="38">
        <v>70</v>
      </c>
      <c r="I58" s="26">
        <f t="shared" si="12"/>
        <v>12523</v>
      </c>
      <c r="J58" s="39" t="s">
        <v>278</v>
      </c>
    </row>
    <row r="59" spans="1:10" s="18" customFormat="1" ht="30" outlineLevel="2" thickTop="1" thickBot="1" x14ac:dyDescent="0.35">
      <c r="A59" s="37" t="s">
        <v>263</v>
      </c>
      <c r="B59" s="7" t="s">
        <v>235</v>
      </c>
      <c r="C59" s="7" t="s">
        <v>241</v>
      </c>
      <c r="D59" s="7" t="s">
        <v>236</v>
      </c>
      <c r="E59" s="7" t="s">
        <v>242</v>
      </c>
      <c r="F59" s="76">
        <f>'opmeting NBN EN15221-6'!$F$5</f>
        <v>229.6</v>
      </c>
      <c r="G59" s="7" t="s">
        <v>55</v>
      </c>
      <c r="H59" s="78">
        <f>H58</f>
        <v>70</v>
      </c>
      <c r="I59" s="26">
        <f t="shared" ref="I59:I60" si="13">F59*H59</f>
        <v>16072</v>
      </c>
      <c r="J59" s="39" t="s">
        <v>278</v>
      </c>
    </row>
    <row r="60" spans="1:10" s="18" customFormat="1" ht="15.6" outlineLevel="2" thickTop="1" thickBot="1" x14ac:dyDescent="0.35">
      <c r="A60" s="37" t="s">
        <v>264</v>
      </c>
      <c r="B60" s="7" t="s">
        <v>235</v>
      </c>
      <c r="C60" s="7" t="s">
        <v>241</v>
      </c>
      <c r="D60" s="7" t="s">
        <v>238</v>
      </c>
      <c r="E60" s="7" t="s">
        <v>242</v>
      </c>
      <c r="F60" s="76">
        <f>'opmeting NBN EN15221-6'!$F$3</f>
        <v>178.9</v>
      </c>
      <c r="G60" s="7" t="s">
        <v>55</v>
      </c>
      <c r="H60" s="38">
        <v>135</v>
      </c>
      <c r="I60" s="26">
        <f t="shared" si="13"/>
        <v>24151.5</v>
      </c>
      <c r="J60" s="39"/>
    </row>
    <row r="61" spans="1:10" s="18" customFormat="1" ht="15.6" outlineLevel="2" thickTop="1" thickBot="1" x14ac:dyDescent="0.35">
      <c r="A61" s="37" t="s">
        <v>264</v>
      </c>
      <c r="B61" s="7" t="s">
        <v>235</v>
      </c>
      <c r="C61" s="7" t="s">
        <v>241</v>
      </c>
      <c r="D61" s="7" t="s">
        <v>236</v>
      </c>
      <c r="E61" s="7" t="s">
        <v>242</v>
      </c>
      <c r="F61" s="76">
        <f>'opmeting NBN EN15221-6'!$F$5</f>
        <v>229.6</v>
      </c>
      <c r="G61" s="7" t="s">
        <v>55</v>
      </c>
      <c r="H61" s="78">
        <f>H60</f>
        <v>135</v>
      </c>
      <c r="I61" s="26">
        <f t="shared" ref="I61" si="14">F61*H61</f>
        <v>30996</v>
      </c>
      <c r="J61" s="39"/>
    </row>
    <row r="62" spans="1:10" s="18" customFormat="1" ht="15" outlineLevel="2" thickTop="1" x14ac:dyDescent="0.3">
      <c r="A62" s="37" t="s">
        <v>265</v>
      </c>
      <c r="B62" s="7" t="s">
        <v>235</v>
      </c>
      <c r="C62" s="7" t="s">
        <v>241</v>
      </c>
      <c r="D62" s="7" t="s">
        <v>164</v>
      </c>
      <c r="E62" s="7" t="s">
        <v>242</v>
      </c>
      <c r="F62" s="8">
        <v>2</v>
      </c>
      <c r="G62" s="7" t="s">
        <v>202</v>
      </c>
      <c r="H62" s="38">
        <v>18770</v>
      </c>
      <c r="I62" s="26">
        <f t="shared" si="9"/>
        <v>37540</v>
      </c>
      <c r="J62" s="39" t="s">
        <v>296</v>
      </c>
    </row>
    <row r="63" spans="1:10" s="18" customFormat="1" outlineLevel="2" x14ac:dyDescent="0.3">
      <c r="A63" s="37" t="s">
        <v>206</v>
      </c>
      <c r="B63" s="7"/>
      <c r="C63" s="7"/>
      <c r="D63" s="7"/>
      <c r="E63" s="7"/>
      <c r="F63" s="8"/>
      <c r="G63" s="7" t="s">
        <v>55</v>
      </c>
      <c r="H63" s="38"/>
      <c r="I63" s="26">
        <f t="shared" si="9"/>
        <v>0</v>
      </c>
      <c r="J63" s="39" t="s">
        <v>297</v>
      </c>
    </row>
    <row r="64" spans="1:10" s="16" customFormat="1" ht="15" outlineLevel="1" thickBot="1" x14ac:dyDescent="0.35">
      <c r="A64" s="35" t="s">
        <v>298</v>
      </c>
      <c r="F64" s="77">
        <f>$F$28</f>
        <v>408.5</v>
      </c>
      <c r="H64" s="80">
        <f>I64/F64</f>
        <v>47.380660954712361</v>
      </c>
      <c r="I64" s="26">
        <f>SUBTOTAL(9,I65:I73)</f>
        <v>19355</v>
      </c>
      <c r="J64" s="35" t="s">
        <v>281</v>
      </c>
    </row>
    <row r="65" spans="1:10" s="18" customFormat="1" ht="15.6" outlineLevel="2" thickTop="1" thickBot="1" x14ac:dyDescent="0.35">
      <c r="A65" s="37" t="s">
        <v>70</v>
      </c>
      <c r="B65" s="7" t="s">
        <v>235</v>
      </c>
      <c r="C65" s="7" t="s">
        <v>241</v>
      </c>
      <c r="D65" s="7" t="s">
        <v>238</v>
      </c>
      <c r="E65" s="7" t="s">
        <v>242</v>
      </c>
      <c r="F65" s="76">
        <f>'opmeting NBN EN15221-6'!$F$3</f>
        <v>178.9</v>
      </c>
      <c r="G65" s="7" t="s">
        <v>55</v>
      </c>
      <c r="H65" s="38">
        <v>10</v>
      </c>
      <c r="I65" s="26">
        <f t="shared" ref="I65:I66" si="15">F65*H65</f>
        <v>1789</v>
      </c>
      <c r="J65" s="39"/>
    </row>
    <row r="66" spans="1:10" s="18" customFormat="1" ht="15.6" outlineLevel="2" thickTop="1" thickBot="1" x14ac:dyDescent="0.35">
      <c r="A66" s="37" t="s">
        <v>70</v>
      </c>
      <c r="B66" s="7" t="s">
        <v>235</v>
      </c>
      <c r="C66" s="7" t="s">
        <v>241</v>
      </c>
      <c r="D66" s="7" t="s">
        <v>236</v>
      </c>
      <c r="E66" s="7" t="s">
        <v>242</v>
      </c>
      <c r="F66" s="76">
        <f>'opmeting NBN EN15221-6'!$F$5</f>
        <v>229.6</v>
      </c>
      <c r="G66" s="7" t="s">
        <v>55</v>
      </c>
      <c r="H66" s="78">
        <f>H65</f>
        <v>10</v>
      </c>
      <c r="I66" s="26">
        <f t="shared" si="15"/>
        <v>2296</v>
      </c>
      <c r="J66" s="39"/>
    </row>
    <row r="67" spans="1:10" s="18" customFormat="1" ht="15" outlineLevel="2" thickTop="1" x14ac:dyDescent="0.3">
      <c r="A67" s="37" t="s">
        <v>266</v>
      </c>
      <c r="B67" s="7"/>
      <c r="C67" s="7"/>
      <c r="D67" s="7"/>
      <c r="E67" s="7"/>
      <c r="F67" s="8"/>
      <c r="G67" s="7" t="s">
        <v>55</v>
      </c>
      <c r="H67" s="38"/>
      <c r="I67" s="26">
        <f t="shared" ref="I67:I68" si="16">F67*H67</f>
        <v>0</v>
      </c>
      <c r="J67" s="39" t="s">
        <v>299</v>
      </c>
    </row>
    <row r="68" spans="1:10" s="18" customFormat="1" outlineLevel="2" x14ac:dyDescent="0.3">
      <c r="A68" s="37" t="s">
        <v>72</v>
      </c>
      <c r="B68" s="7" t="s">
        <v>235</v>
      </c>
      <c r="C68" s="7" t="s">
        <v>241</v>
      </c>
      <c r="D68" s="7" t="s">
        <v>236</v>
      </c>
      <c r="E68" s="7" t="s">
        <v>242</v>
      </c>
      <c r="F68" s="8">
        <v>1</v>
      </c>
      <c r="G68" s="7" t="s">
        <v>180</v>
      </c>
      <c r="H68" s="38">
        <v>7500</v>
      </c>
      <c r="I68" s="26">
        <f t="shared" si="16"/>
        <v>7500</v>
      </c>
      <c r="J68" s="39" t="s">
        <v>300</v>
      </c>
    </row>
    <row r="69" spans="1:10" s="18" customFormat="1" outlineLevel="2" x14ac:dyDescent="0.3">
      <c r="A69" s="37" t="s">
        <v>73</v>
      </c>
      <c r="B69" s="7" t="s">
        <v>235</v>
      </c>
      <c r="C69" s="7" t="s">
        <v>241</v>
      </c>
      <c r="D69" s="7" t="s">
        <v>236</v>
      </c>
      <c r="E69" s="7" t="s">
        <v>242</v>
      </c>
      <c r="F69" s="8">
        <v>6</v>
      </c>
      <c r="G69" s="7" t="s">
        <v>180</v>
      </c>
      <c r="H69" s="38">
        <v>1110</v>
      </c>
      <c r="I69" s="26">
        <f t="shared" ref="I69" si="17">F69*H69</f>
        <v>6660</v>
      </c>
      <c r="J69" s="39" t="s">
        <v>278</v>
      </c>
    </row>
    <row r="70" spans="1:10" s="18" customFormat="1" ht="15" outlineLevel="2" thickBot="1" x14ac:dyDescent="0.35">
      <c r="A70" s="37" t="s">
        <v>73</v>
      </c>
      <c r="B70" s="7" t="s">
        <v>235</v>
      </c>
      <c r="C70" s="7" t="s">
        <v>241</v>
      </c>
      <c r="D70" s="7" t="s">
        <v>236</v>
      </c>
      <c r="E70" s="7" t="s">
        <v>242</v>
      </c>
      <c r="F70" s="8">
        <v>1</v>
      </c>
      <c r="G70" s="7" t="s">
        <v>180</v>
      </c>
      <c r="H70" s="78">
        <f>H69</f>
        <v>1110</v>
      </c>
      <c r="I70" s="26">
        <f t="shared" ref="I70" si="18">F70*H70</f>
        <v>1110</v>
      </c>
      <c r="J70" s="39" t="s">
        <v>278</v>
      </c>
    </row>
    <row r="71" spans="1:10" s="18" customFormat="1" ht="15" outlineLevel="2" thickTop="1" x14ac:dyDescent="0.3">
      <c r="A71" s="37" t="s">
        <v>74</v>
      </c>
      <c r="B71" s="7"/>
      <c r="C71" s="7"/>
      <c r="D71" s="7"/>
      <c r="E71" s="7"/>
      <c r="F71" s="8"/>
      <c r="G71" s="7" t="s">
        <v>55</v>
      </c>
      <c r="H71" s="38"/>
      <c r="I71" s="26">
        <f t="shared" ref="I71" si="19">F71*H71</f>
        <v>0</v>
      </c>
      <c r="J71" s="39" t="s">
        <v>68</v>
      </c>
    </row>
    <row r="72" spans="1:10" s="18" customFormat="1" outlineLevel="2" x14ac:dyDescent="0.3">
      <c r="A72" s="37" t="s">
        <v>75</v>
      </c>
      <c r="B72" s="7"/>
      <c r="C72" s="7"/>
      <c r="D72" s="7"/>
      <c r="E72" s="7"/>
      <c r="F72" s="8"/>
      <c r="G72" s="7" t="s">
        <v>55</v>
      </c>
      <c r="H72" s="38"/>
      <c r="I72" s="26">
        <f t="shared" ref="I72" si="20">F72*H72</f>
        <v>0</v>
      </c>
      <c r="J72" s="39" t="s">
        <v>299</v>
      </c>
    </row>
    <row r="73" spans="1:10" s="16" customFormat="1" ht="15" outlineLevel="1" thickBot="1" x14ac:dyDescent="0.35">
      <c r="A73" s="35" t="s">
        <v>77</v>
      </c>
      <c r="F73" s="77">
        <f>'opmeting NBN EN15221-6'!K1</f>
        <v>336.1</v>
      </c>
      <c r="H73" s="80">
        <f>I73/F73</f>
        <v>119.99999999999999</v>
      </c>
      <c r="I73" s="26">
        <f>SUBTOTAL(9,I74:I79)</f>
        <v>40332</v>
      </c>
      <c r="J73" s="35" t="s">
        <v>286</v>
      </c>
    </row>
    <row r="74" spans="1:10" s="18" customFormat="1" ht="15" outlineLevel="2" thickTop="1" x14ac:dyDescent="0.3">
      <c r="A74" s="37" t="s">
        <v>267</v>
      </c>
      <c r="B74" s="7"/>
      <c r="C74" s="7"/>
      <c r="D74" s="7"/>
      <c r="E74" s="7"/>
      <c r="F74" s="8"/>
      <c r="G74" s="7" t="s">
        <v>55</v>
      </c>
      <c r="H74" s="38"/>
      <c r="I74" s="26">
        <f t="shared" ref="I74:I78" si="21">F74*H74</f>
        <v>0</v>
      </c>
      <c r="J74" s="39" t="s">
        <v>207</v>
      </c>
    </row>
    <row r="75" spans="1:10" s="18" customFormat="1" outlineLevel="2" x14ac:dyDescent="0.3">
      <c r="A75" s="37" t="s">
        <v>268</v>
      </c>
      <c r="B75" s="7"/>
      <c r="C75" s="7"/>
      <c r="D75" s="7"/>
      <c r="E75" s="7"/>
      <c r="F75" s="8"/>
      <c r="G75" s="7" t="s">
        <v>55</v>
      </c>
      <c r="H75" s="38"/>
      <c r="I75" s="26">
        <f t="shared" si="21"/>
        <v>0</v>
      </c>
      <c r="J75" s="39" t="s">
        <v>208</v>
      </c>
    </row>
    <row r="76" spans="1:10" s="18" customFormat="1" ht="15" outlineLevel="2" thickBot="1" x14ac:dyDescent="0.35">
      <c r="A76" s="37" t="s">
        <v>269</v>
      </c>
      <c r="B76" s="7" t="s">
        <v>280</v>
      </c>
      <c r="C76" s="7" t="s">
        <v>241</v>
      </c>
      <c r="D76" s="7" t="s">
        <v>236</v>
      </c>
      <c r="E76" s="7" t="s">
        <v>242</v>
      </c>
      <c r="F76" s="76">
        <f>'opmeting NBN EN15221-6'!$K$8</f>
        <v>336.1</v>
      </c>
      <c r="G76" s="7" t="s">
        <v>55</v>
      </c>
      <c r="H76" s="38">
        <v>90</v>
      </c>
      <c r="I76" s="26">
        <f t="shared" si="21"/>
        <v>30249.000000000004</v>
      </c>
      <c r="J76" s="39" t="s">
        <v>279</v>
      </c>
    </row>
    <row r="77" spans="1:10" s="18" customFormat="1" ht="15.6" outlineLevel="2" thickTop="1" thickBot="1" x14ac:dyDescent="0.35">
      <c r="A77" s="37" t="s">
        <v>270</v>
      </c>
      <c r="B77" s="7" t="s">
        <v>280</v>
      </c>
      <c r="C77" s="7" t="s">
        <v>241</v>
      </c>
      <c r="D77" s="7" t="s">
        <v>236</v>
      </c>
      <c r="E77" s="7" t="s">
        <v>242</v>
      </c>
      <c r="F77" s="76">
        <f>'opmeting NBN EN15221-6'!$K$8</f>
        <v>336.1</v>
      </c>
      <c r="G77" s="7" t="s">
        <v>55</v>
      </c>
      <c r="H77" s="38">
        <v>30</v>
      </c>
      <c r="I77" s="26">
        <f t="shared" si="21"/>
        <v>10083</v>
      </c>
      <c r="J77" s="39" t="s">
        <v>291</v>
      </c>
    </row>
    <row r="78" spans="1:10" s="18" customFormat="1" ht="15" outlineLevel="2" thickTop="1" x14ac:dyDescent="0.3">
      <c r="A78" s="37" t="s">
        <v>78</v>
      </c>
      <c r="B78" s="7"/>
      <c r="C78" s="7"/>
      <c r="D78" s="7"/>
      <c r="E78" s="7"/>
      <c r="F78" s="8"/>
      <c r="G78" s="7" t="s">
        <v>55</v>
      </c>
      <c r="H78" s="38"/>
      <c r="I78" s="26">
        <f t="shared" si="21"/>
        <v>0</v>
      </c>
      <c r="J78" s="39" t="s">
        <v>207</v>
      </c>
    </row>
    <row r="79" spans="1:10" s="16" customFormat="1" outlineLevel="1" x14ac:dyDescent="0.3">
      <c r="A79" s="35" t="s">
        <v>285</v>
      </c>
      <c r="H79" s="81">
        <f>SUBTOTAL(9,I80:I83)/SUBTOTAL(9,H80:H83)</f>
        <v>3.3000000000000002E-2</v>
      </c>
      <c r="I79" s="26">
        <f>SUBTOTAL(9,I80:I87)</f>
        <v>45639.478499999997</v>
      </c>
      <c r="J79" s="35" t="s">
        <v>287</v>
      </c>
    </row>
    <row r="80" spans="1:10" s="18" customFormat="1" ht="15" customHeight="1" outlineLevel="2" x14ac:dyDescent="0.3">
      <c r="A80" s="37" t="s">
        <v>301</v>
      </c>
      <c r="B80" s="7" t="s">
        <v>235</v>
      </c>
      <c r="C80" s="7" t="s">
        <v>241</v>
      </c>
      <c r="D80" s="7" t="s">
        <v>164</v>
      </c>
      <c r="E80" s="7" t="s">
        <v>242</v>
      </c>
      <c r="F80" s="82">
        <v>3.3000000000000002E-2</v>
      </c>
      <c r="G80" s="7"/>
      <c r="H80" s="26">
        <f>SUMIF($B$29:$B$78,B80,$I$29:$I$78)</f>
        <v>1342682.5</v>
      </c>
      <c r="I80" s="26">
        <f t="shared" ref="I80" si="22">F80*H80</f>
        <v>44308.522499999999</v>
      </c>
      <c r="J80" s="39" t="s">
        <v>287</v>
      </c>
    </row>
    <row r="81" spans="1:10" s="18" customFormat="1" ht="14.25" customHeight="1" outlineLevel="2" thickBot="1" x14ac:dyDescent="0.35">
      <c r="A81" s="37" t="s">
        <v>301</v>
      </c>
      <c r="B81" s="7" t="s">
        <v>280</v>
      </c>
      <c r="C81" s="7" t="s">
        <v>241</v>
      </c>
      <c r="D81" s="7" t="s">
        <v>164</v>
      </c>
      <c r="E81" s="7" t="s">
        <v>242</v>
      </c>
      <c r="F81" s="83">
        <f>F80</f>
        <v>3.3000000000000002E-2</v>
      </c>
      <c r="G81" s="7"/>
      <c r="H81" s="26">
        <f>SUMIF($B$29:$B$78,B81,$I$29:$I$78)</f>
        <v>40332</v>
      </c>
      <c r="I81" s="26">
        <f t="shared" ref="I81" si="23">F81*H81</f>
        <v>1330.9560000000001</v>
      </c>
      <c r="J81" s="39" t="s">
        <v>287</v>
      </c>
    </row>
    <row r="82" spans="1:10" s="18" customFormat="1" ht="10.5" customHeight="1" outlineLevel="2" thickTop="1" x14ac:dyDescent="0.3">
      <c r="A82" s="37" t="s">
        <v>79</v>
      </c>
      <c r="B82" s="7"/>
      <c r="C82" s="7"/>
      <c r="D82" s="7"/>
      <c r="E82" s="7"/>
      <c r="F82" s="8"/>
      <c r="G82" s="7"/>
      <c r="H82" s="38"/>
      <c r="I82" s="26">
        <f t="shared" ref="I82:I85" si="24">F82*H82</f>
        <v>0</v>
      </c>
      <c r="J82" s="39" t="s">
        <v>287</v>
      </c>
    </row>
    <row r="83" spans="1:10" s="18" customFormat="1" ht="11.25" customHeight="1" outlineLevel="2" x14ac:dyDescent="0.3">
      <c r="A83" s="37" t="s">
        <v>80</v>
      </c>
      <c r="B83" s="7"/>
      <c r="C83" s="7"/>
      <c r="D83" s="7"/>
      <c r="E83" s="7"/>
      <c r="F83" s="8"/>
      <c r="G83" s="7"/>
      <c r="H83" s="38"/>
      <c r="I83" s="26">
        <f t="shared" si="24"/>
        <v>0</v>
      </c>
      <c r="J83" s="39" t="s">
        <v>287</v>
      </c>
    </row>
    <row r="84" spans="1:10" s="18" customFormat="1" ht="13.5" customHeight="1" outlineLevel="2" x14ac:dyDescent="0.3">
      <c r="A84" s="37" t="s">
        <v>209</v>
      </c>
      <c r="B84" s="7"/>
      <c r="C84" s="7"/>
      <c r="D84" s="7"/>
      <c r="E84" s="7"/>
      <c r="F84" s="8"/>
      <c r="G84" s="7"/>
      <c r="H84" s="38"/>
      <c r="I84" s="26">
        <f t="shared" si="24"/>
        <v>0</v>
      </c>
      <c r="J84" s="39" t="s">
        <v>288</v>
      </c>
    </row>
    <row r="85" spans="1:10" s="18" customFormat="1" ht="9.75" customHeight="1" outlineLevel="2" x14ac:dyDescent="0.3">
      <c r="A85" s="37" t="s">
        <v>81</v>
      </c>
      <c r="B85" s="7"/>
      <c r="C85" s="7"/>
      <c r="D85" s="7"/>
      <c r="E85" s="7"/>
      <c r="F85" s="8"/>
      <c r="G85" s="7"/>
      <c r="H85" s="38"/>
      <c r="I85" s="26">
        <f t="shared" si="24"/>
        <v>0</v>
      </c>
      <c r="J85" s="39" t="s">
        <v>288</v>
      </c>
    </row>
    <row r="86" spans="1:10" s="14" customFormat="1" x14ac:dyDescent="0.3">
      <c r="A86" s="33" t="s">
        <v>82</v>
      </c>
      <c r="F86" s="63"/>
      <c r="H86" s="34"/>
      <c r="I86" s="26">
        <f>SUBTOTAL(9,I87:I94)</f>
        <v>0</v>
      </c>
      <c r="J86" s="60"/>
    </row>
    <row r="87" spans="1:10" s="16" customFormat="1" outlineLevel="1" x14ac:dyDescent="0.3">
      <c r="A87" s="35" t="s">
        <v>83</v>
      </c>
      <c r="F87" s="64"/>
      <c r="H87" s="36"/>
      <c r="I87" s="26">
        <f>SUBTOTAL(9,I88:I91)</f>
        <v>0</v>
      </c>
      <c r="J87" s="59"/>
    </row>
    <row r="88" spans="1:10" s="18" customFormat="1" outlineLevel="2" x14ac:dyDescent="0.3">
      <c r="A88" s="37" t="s">
        <v>84</v>
      </c>
      <c r="B88" s="7"/>
      <c r="C88" s="7"/>
      <c r="D88" s="7"/>
      <c r="E88" s="7"/>
      <c r="F88" s="8"/>
      <c r="G88" s="7" t="s">
        <v>169</v>
      </c>
      <c r="H88" s="38"/>
      <c r="I88" s="26">
        <f>F88*H88</f>
        <v>0</v>
      </c>
      <c r="J88" s="39" t="s">
        <v>210</v>
      </c>
    </row>
    <row r="89" spans="1:10" s="18" customFormat="1" outlineLevel="2" x14ac:dyDescent="0.3">
      <c r="A89" s="37" t="s">
        <v>85</v>
      </c>
      <c r="B89" s="7"/>
      <c r="C89" s="7"/>
      <c r="D89" s="7"/>
      <c r="E89" s="7"/>
      <c r="F89" s="8"/>
      <c r="G89" s="7" t="s">
        <v>169</v>
      </c>
      <c r="H89" s="38"/>
      <c r="I89" s="26">
        <f>F89*H89</f>
        <v>0</v>
      </c>
      <c r="J89" s="39"/>
    </row>
    <row r="90" spans="1:10" s="18" customFormat="1" outlineLevel="2" x14ac:dyDescent="0.3">
      <c r="A90" s="37" t="s">
        <v>86</v>
      </c>
      <c r="B90" s="7"/>
      <c r="C90" s="7"/>
      <c r="D90" s="7"/>
      <c r="E90" s="7"/>
      <c r="F90" s="8"/>
      <c r="G90" s="7" t="s">
        <v>169</v>
      </c>
      <c r="H90" s="38"/>
      <c r="I90" s="26">
        <f>F90*H90</f>
        <v>0</v>
      </c>
      <c r="J90" s="39"/>
    </row>
    <row r="91" spans="1:10" s="16" customFormat="1" outlineLevel="1" x14ac:dyDescent="0.3">
      <c r="A91" s="35" t="s">
        <v>87</v>
      </c>
      <c r="F91" s="64"/>
      <c r="H91" s="36"/>
      <c r="I91" s="26">
        <f>SUBTOTAL(9,I92:I95)</f>
        <v>0</v>
      </c>
      <c r="J91" s="59"/>
    </row>
    <row r="92" spans="1:10" s="18" customFormat="1" outlineLevel="2" x14ac:dyDescent="0.3">
      <c r="A92" s="37" t="s">
        <v>88</v>
      </c>
      <c r="B92" s="7"/>
      <c r="C92" s="7"/>
      <c r="D92" s="7"/>
      <c r="E92" s="2"/>
      <c r="F92" s="8"/>
      <c r="G92" s="7" t="s">
        <v>169</v>
      </c>
      <c r="H92" s="38"/>
      <c r="I92" s="26">
        <f>F92*H92</f>
        <v>0</v>
      </c>
      <c r="J92" s="39"/>
    </row>
    <row r="93" spans="1:10" s="18" customFormat="1" outlineLevel="2" x14ac:dyDescent="0.3">
      <c r="A93" s="37" t="s">
        <v>89</v>
      </c>
      <c r="B93" s="7"/>
      <c r="C93" s="7"/>
      <c r="D93" s="7"/>
      <c r="E93" s="7"/>
      <c r="F93" s="8"/>
      <c r="G93" s="7" t="s">
        <v>169</v>
      </c>
      <c r="H93" s="38"/>
      <c r="I93" s="26">
        <f>F93*H93</f>
        <v>0</v>
      </c>
      <c r="J93" s="39"/>
    </row>
    <row r="94" spans="1:10" s="18" customFormat="1" outlineLevel="2" x14ac:dyDescent="0.3">
      <c r="A94" s="37" t="s">
        <v>90</v>
      </c>
      <c r="B94" s="7"/>
      <c r="C94" s="7"/>
      <c r="D94" s="7"/>
      <c r="E94" s="7"/>
      <c r="F94" s="8"/>
      <c r="G94" s="7" t="s">
        <v>169</v>
      </c>
      <c r="H94" s="38"/>
      <c r="I94" s="26">
        <f>F94*H94</f>
        <v>0</v>
      </c>
      <c r="J94" s="39"/>
    </row>
    <row r="95" spans="1:10" s="14" customFormat="1" x14ac:dyDescent="0.3">
      <c r="A95" s="33" t="s">
        <v>91</v>
      </c>
      <c r="F95" s="63"/>
      <c r="H95" s="34"/>
      <c r="I95" s="26">
        <f>SUBTOTAL(9,I96:I133)</f>
        <v>91467</v>
      </c>
      <c r="J95" s="60"/>
    </row>
    <row r="96" spans="1:10" s="16" customFormat="1" outlineLevel="1" x14ac:dyDescent="0.3">
      <c r="A96" s="35" t="s">
        <v>92</v>
      </c>
      <c r="F96" s="64"/>
      <c r="H96" s="36"/>
      <c r="I96" s="26">
        <f>SUBTOTAL(9,I97:I104)</f>
        <v>0</v>
      </c>
      <c r="J96" s="59"/>
    </row>
    <row r="97" spans="1:10" s="18" customFormat="1" outlineLevel="2" x14ac:dyDescent="0.3">
      <c r="A97" s="37" t="s">
        <v>93</v>
      </c>
      <c r="B97" s="7"/>
      <c r="C97" s="7"/>
      <c r="D97" s="7"/>
      <c r="E97" s="7"/>
      <c r="F97" s="8"/>
      <c r="G97" s="7"/>
      <c r="H97" s="38"/>
      <c r="I97" s="26">
        <f t="shared" ref="I97:I103" si="25">F97*H97</f>
        <v>0</v>
      </c>
      <c r="J97" s="39"/>
    </row>
    <row r="98" spans="1:10" s="18" customFormat="1" outlineLevel="2" x14ac:dyDescent="0.3">
      <c r="A98" s="37" t="s">
        <v>211</v>
      </c>
      <c r="B98" s="7"/>
      <c r="C98" s="7"/>
      <c r="D98" s="7"/>
      <c r="E98" s="7"/>
      <c r="F98" s="8"/>
      <c r="G98" s="7"/>
      <c r="H98" s="38"/>
      <c r="I98" s="26">
        <f t="shared" ref="I98" si="26">F98*H98</f>
        <v>0</v>
      </c>
      <c r="J98" s="39"/>
    </row>
    <row r="99" spans="1:10" s="18" customFormat="1" outlineLevel="2" x14ac:dyDescent="0.3">
      <c r="A99" s="37" t="s">
        <v>94</v>
      </c>
      <c r="B99" s="7"/>
      <c r="C99" s="7"/>
      <c r="D99" s="7"/>
      <c r="E99" s="7"/>
      <c r="F99" s="8"/>
      <c r="G99" s="7"/>
      <c r="H99" s="38"/>
      <c r="I99" s="26">
        <f t="shared" si="25"/>
        <v>0</v>
      </c>
      <c r="J99" s="39"/>
    </row>
    <row r="100" spans="1:10" s="18" customFormat="1" outlineLevel="2" x14ac:dyDescent="0.3">
      <c r="A100" s="37" t="s">
        <v>95</v>
      </c>
      <c r="B100" s="7"/>
      <c r="C100" s="7"/>
      <c r="D100" s="7"/>
      <c r="E100" s="2"/>
      <c r="F100" s="8"/>
      <c r="G100" s="7"/>
      <c r="H100" s="38"/>
      <c r="I100" s="26">
        <f>F100*H100</f>
        <v>0</v>
      </c>
      <c r="J100" s="39"/>
    </row>
    <row r="101" spans="1:10" s="18" customFormat="1" outlineLevel="2" x14ac:dyDescent="0.3">
      <c r="A101" s="37" t="s">
        <v>96</v>
      </c>
      <c r="B101" s="7"/>
      <c r="C101" s="7"/>
      <c r="D101" s="7"/>
      <c r="E101" s="7"/>
      <c r="F101" s="8"/>
      <c r="G101" s="7"/>
      <c r="H101" s="38"/>
      <c r="I101" s="26">
        <f t="shared" si="25"/>
        <v>0</v>
      </c>
      <c r="J101" s="39"/>
    </row>
    <row r="102" spans="1:10" s="18" customFormat="1" outlineLevel="2" x14ac:dyDescent="0.3">
      <c r="A102" s="37" t="s">
        <v>97</v>
      </c>
      <c r="B102" s="7"/>
      <c r="C102" s="7"/>
      <c r="D102" s="7"/>
      <c r="E102" s="7"/>
      <c r="F102" s="8"/>
      <c r="G102" s="7"/>
      <c r="H102" s="38"/>
      <c r="I102" s="26">
        <f t="shared" si="25"/>
        <v>0</v>
      </c>
      <c r="J102" s="39"/>
    </row>
    <row r="103" spans="1:10" s="18" customFormat="1" outlineLevel="2" x14ac:dyDescent="0.3">
      <c r="A103" s="37" t="s">
        <v>98</v>
      </c>
      <c r="B103" s="7"/>
      <c r="C103" s="7"/>
      <c r="D103" s="7"/>
      <c r="E103" s="7"/>
      <c r="F103" s="8"/>
      <c r="G103" s="7"/>
      <c r="H103" s="38"/>
      <c r="I103" s="26">
        <f t="shared" si="25"/>
        <v>0</v>
      </c>
      <c r="J103" s="39"/>
    </row>
    <row r="104" spans="1:10" s="16" customFormat="1" ht="15" outlineLevel="1" thickBot="1" x14ac:dyDescent="0.35">
      <c r="A104" s="35" t="s">
        <v>99</v>
      </c>
      <c r="F104" s="77">
        <f>$F$28</f>
        <v>408.5</v>
      </c>
      <c r="H104" s="80">
        <f>I104/F104</f>
        <v>223.90942472460219</v>
      </c>
      <c r="I104" s="26">
        <f>SUBTOTAL(9,I105:I116)</f>
        <v>91467</v>
      </c>
      <c r="J104" s="35" t="s">
        <v>281</v>
      </c>
    </row>
    <row r="105" spans="1:10" s="18" customFormat="1" ht="15" outlineLevel="2" thickTop="1" x14ac:dyDescent="0.3">
      <c r="A105" s="37" t="s">
        <v>100</v>
      </c>
      <c r="B105" s="7"/>
      <c r="C105" s="7"/>
      <c r="D105" s="7"/>
      <c r="E105" s="7"/>
      <c r="F105" s="8"/>
      <c r="G105" s="7"/>
      <c r="H105" s="38"/>
      <c r="I105" s="26">
        <f>F105*H105</f>
        <v>0</v>
      </c>
      <c r="J105" s="39"/>
    </row>
    <row r="106" spans="1:10" s="18" customFormat="1" outlineLevel="2" x14ac:dyDescent="0.3">
      <c r="A106" s="37" t="s">
        <v>101</v>
      </c>
      <c r="B106" s="7"/>
      <c r="C106" s="7"/>
      <c r="D106" s="7"/>
      <c r="E106" s="7"/>
      <c r="F106" s="8"/>
      <c r="G106" s="7"/>
      <c r="H106" s="38"/>
      <c r="I106" s="26">
        <f>F106*H106</f>
        <v>0</v>
      </c>
      <c r="J106" s="39"/>
    </row>
    <row r="107" spans="1:10" s="18" customFormat="1" outlineLevel="2" x14ac:dyDescent="0.3">
      <c r="A107" s="37" t="s">
        <v>102</v>
      </c>
      <c r="B107" s="7"/>
      <c r="C107" s="7"/>
      <c r="D107" s="7"/>
      <c r="E107" s="7"/>
      <c r="F107" s="8"/>
      <c r="G107" s="7"/>
      <c r="H107" s="38"/>
      <c r="I107" s="26">
        <f t="shared" ref="I107" si="27">F107*H107</f>
        <v>0</v>
      </c>
      <c r="J107" s="39"/>
    </row>
    <row r="108" spans="1:10" s="18" customFormat="1" outlineLevel="2" x14ac:dyDescent="0.3">
      <c r="A108" s="37" t="s">
        <v>103</v>
      </c>
      <c r="B108" s="7"/>
      <c r="C108" s="7"/>
      <c r="D108" s="7"/>
      <c r="E108" s="7"/>
      <c r="F108" s="8"/>
      <c r="G108" s="7"/>
      <c r="H108" s="38"/>
      <c r="I108" s="26">
        <f t="shared" ref="I108:I115" si="28">F108*H108</f>
        <v>0</v>
      </c>
      <c r="J108" s="39"/>
    </row>
    <row r="109" spans="1:10" s="18" customFormat="1" outlineLevel="2" x14ac:dyDescent="0.3">
      <c r="A109" s="37" t="s">
        <v>176</v>
      </c>
      <c r="B109" s="7"/>
      <c r="C109" s="7"/>
      <c r="D109" s="7"/>
      <c r="E109" s="7"/>
      <c r="F109" s="8"/>
      <c r="G109" s="7"/>
      <c r="H109" s="38"/>
      <c r="I109" s="26">
        <f t="shared" si="28"/>
        <v>0</v>
      </c>
      <c r="J109" s="39"/>
    </row>
    <row r="110" spans="1:10" s="18" customFormat="1" ht="15" outlineLevel="2" thickBot="1" x14ac:dyDescent="0.35">
      <c r="A110" s="37" t="s">
        <v>104</v>
      </c>
      <c r="B110" s="7" t="s">
        <v>235</v>
      </c>
      <c r="C110" s="7" t="s">
        <v>241</v>
      </c>
      <c r="D110" s="7" t="s">
        <v>272</v>
      </c>
      <c r="E110" s="7" t="s">
        <v>242</v>
      </c>
      <c r="F110" s="76">
        <f>F30</f>
        <v>178.9</v>
      </c>
      <c r="G110" s="7" t="s">
        <v>55</v>
      </c>
      <c r="H110" s="38">
        <v>220</v>
      </c>
      <c r="I110" s="26">
        <f t="shared" si="28"/>
        <v>39358</v>
      </c>
      <c r="J110" s="39" t="s">
        <v>273</v>
      </c>
    </row>
    <row r="111" spans="1:10" s="18" customFormat="1" ht="15.6" outlineLevel="2" thickTop="1" thickBot="1" x14ac:dyDescent="0.35">
      <c r="A111" s="37" t="s">
        <v>104</v>
      </c>
      <c r="B111" s="7" t="s">
        <v>235</v>
      </c>
      <c r="C111" s="7" t="s">
        <v>241</v>
      </c>
      <c r="D111" s="7" t="s">
        <v>243</v>
      </c>
      <c r="E111" s="7" t="s">
        <v>242</v>
      </c>
      <c r="F111" s="76">
        <f>F34</f>
        <v>229.6</v>
      </c>
      <c r="G111" s="7" t="s">
        <v>55</v>
      </c>
      <c r="H111" s="38">
        <v>185</v>
      </c>
      <c r="I111" s="26">
        <f t="shared" ref="I111" si="29">F111*H111</f>
        <v>42476</v>
      </c>
      <c r="J111" s="39" t="s">
        <v>277</v>
      </c>
    </row>
    <row r="112" spans="1:10" s="18" customFormat="1" ht="15.6" outlineLevel="2" thickTop="1" thickBot="1" x14ac:dyDescent="0.35">
      <c r="A112" s="37" t="s">
        <v>104</v>
      </c>
      <c r="B112" s="7" t="s">
        <v>235</v>
      </c>
      <c r="C112" s="7" t="s">
        <v>241</v>
      </c>
      <c r="D112" s="7" t="s">
        <v>236</v>
      </c>
      <c r="E112" s="7" t="s">
        <v>242</v>
      </c>
      <c r="F112" s="76">
        <f>F48</f>
        <v>50.699999999999989</v>
      </c>
      <c r="G112" s="7" t="s">
        <v>55</v>
      </c>
      <c r="H112" s="38">
        <f>375-185</f>
        <v>190</v>
      </c>
      <c r="I112" s="26">
        <f t="shared" ref="I112" si="30">F112*H112</f>
        <v>9632.9999999999982</v>
      </c>
      <c r="J112" s="39" t="s">
        <v>282</v>
      </c>
    </row>
    <row r="113" spans="1:10" s="18" customFormat="1" ht="15" outlineLevel="2" thickTop="1" x14ac:dyDescent="0.3">
      <c r="A113" s="37" t="s">
        <v>212</v>
      </c>
      <c r="B113" s="7"/>
      <c r="C113" s="7"/>
      <c r="D113" s="7"/>
      <c r="E113" s="7"/>
      <c r="F113" s="8"/>
      <c r="G113" s="7"/>
      <c r="H113" s="38"/>
      <c r="I113" s="26">
        <f t="shared" ref="I113" si="31">F113*H113</f>
        <v>0</v>
      </c>
      <c r="J113" s="39"/>
    </row>
    <row r="114" spans="1:10" s="18" customFormat="1" outlineLevel="2" x14ac:dyDescent="0.3">
      <c r="A114" s="37" t="s">
        <v>105</v>
      </c>
      <c r="B114" s="7"/>
      <c r="C114" s="7"/>
      <c r="D114" s="7"/>
      <c r="E114" s="7"/>
      <c r="F114" s="8"/>
      <c r="G114" s="7"/>
      <c r="H114" s="38"/>
      <c r="I114" s="26">
        <f t="shared" si="28"/>
        <v>0</v>
      </c>
      <c r="J114" s="39"/>
    </row>
    <row r="115" spans="1:10" s="18" customFormat="1" outlineLevel="2" x14ac:dyDescent="0.3">
      <c r="A115" s="37" t="s">
        <v>106</v>
      </c>
      <c r="B115" s="7"/>
      <c r="C115" s="7"/>
      <c r="D115" s="7"/>
      <c r="E115" s="7"/>
      <c r="F115" s="8"/>
      <c r="G115" s="7"/>
      <c r="H115" s="38"/>
      <c r="I115" s="26">
        <f t="shared" si="28"/>
        <v>0</v>
      </c>
      <c r="J115" s="39"/>
    </row>
    <row r="116" spans="1:10" s="16" customFormat="1" outlineLevel="1" x14ac:dyDescent="0.3">
      <c r="A116" s="35" t="s">
        <v>107</v>
      </c>
      <c r="F116" s="64"/>
      <c r="H116" s="36"/>
      <c r="I116" s="26">
        <f>SUBTOTAL(9,I117:I124)</f>
        <v>0</v>
      </c>
      <c r="J116" s="59"/>
    </row>
    <row r="117" spans="1:10" s="18" customFormat="1" outlineLevel="2" x14ac:dyDescent="0.3">
      <c r="A117" s="37" t="s">
        <v>108</v>
      </c>
      <c r="B117" s="7"/>
      <c r="C117" s="7"/>
      <c r="D117" s="7"/>
      <c r="E117" s="7"/>
      <c r="F117" s="8"/>
      <c r="G117" s="7"/>
      <c r="H117" s="38"/>
      <c r="I117" s="26">
        <f t="shared" ref="I117:I123" si="32">F117*H117</f>
        <v>0</v>
      </c>
      <c r="J117" s="39"/>
    </row>
    <row r="118" spans="1:10" s="18" customFormat="1" outlineLevel="2" x14ac:dyDescent="0.3">
      <c r="A118" s="37" t="s">
        <v>109</v>
      </c>
      <c r="B118" s="7"/>
      <c r="C118" s="7"/>
      <c r="D118" s="7"/>
      <c r="E118" s="2"/>
      <c r="F118" s="8"/>
      <c r="G118" s="7"/>
      <c r="H118" s="38"/>
      <c r="I118" s="26">
        <f t="shared" si="32"/>
        <v>0</v>
      </c>
      <c r="J118" s="39"/>
    </row>
    <row r="119" spans="1:10" s="18" customFormat="1" outlineLevel="2" x14ac:dyDescent="0.3">
      <c r="A119" s="37" t="s">
        <v>110</v>
      </c>
      <c r="B119" s="7"/>
      <c r="C119" s="7"/>
      <c r="D119" s="7"/>
      <c r="E119" s="7"/>
      <c r="F119" s="8"/>
      <c r="G119" s="7"/>
      <c r="H119" s="38"/>
      <c r="I119" s="26">
        <f t="shared" si="32"/>
        <v>0</v>
      </c>
      <c r="J119" s="39"/>
    </row>
    <row r="120" spans="1:10" s="18" customFormat="1" outlineLevel="2" x14ac:dyDescent="0.3">
      <c r="A120" s="37" t="s">
        <v>111</v>
      </c>
      <c r="B120" s="7"/>
      <c r="C120" s="7"/>
      <c r="D120" s="7"/>
      <c r="E120" s="7"/>
      <c r="F120" s="8"/>
      <c r="G120" s="7"/>
      <c r="H120" s="38"/>
      <c r="I120" s="26">
        <f t="shared" si="32"/>
        <v>0</v>
      </c>
      <c r="J120" s="39"/>
    </row>
    <row r="121" spans="1:10" s="18" customFormat="1" outlineLevel="2" x14ac:dyDescent="0.3">
      <c r="A121" s="37" t="s">
        <v>112</v>
      </c>
      <c r="B121" s="7"/>
      <c r="C121" s="7"/>
      <c r="D121" s="7"/>
      <c r="E121" s="7"/>
      <c r="F121" s="8"/>
      <c r="G121" s="7"/>
      <c r="H121" s="38"/>
      <c r="I121" s="26">
        <f t="shared" si="32"/>
        <v>0</v>
      </c>
      <c r="J121" s="39"/>
    </row>
    <row r="122" spans="1:10" s="18" customFormat="1" outlineLevel="2" x14ac:dyDescent="0.3">
      <c r="A122" s="37" t="s">
        <v>113</v>
      </c>
      <c r="B122" s="7"/>
      <c r="C122" s="7"/>
      <c r="D122" s="7"/>
      <c r="E122" s="2"/>
      <c r="F122" s="8"/>
      <c r="G122" s="7"/>
      <c r="H122" s="38"/>
      <c r="I122" s="26">
        <f t="shared" si="32"/>
        <v>0</v>
      </c>
      <c r="J122" s="39"/>
    </row>
    <row r="123" spans="1:10" s="18" customFormat="1" outlineLevel="2" x14ac:dyDescent="0.3">
      <c r="A123" s="37" t="s">
        <v>114</v>
      </c>
      <c r="B123" s="7"/>
      <c r="C123" s="7"/>
      <c r="D123" s="7"/>
      <c r="E123" s="7"/>
      <c r="F123" s="8"/>
      <c r="G123" s="7"/>
      <c r="H123" s="38"/>
      <c r="I123" s="26">
        <f t="shared" si="32"/>
        <v>0</v>
      </c>
      <c r="J123" s="39"/>
    </row>
    <row r="124" spans="1:10" s="16" customFormat="1" outlineLevel="1" x14ac:dyDescent="0.3">
      <c r="A124" s="35" t="s">
        <v>115</v>
      </c>
      <c r="F124" s="64"/>
      <c r="H124" s="36"/>
      <c r="I124" s="26">
        <f>SUBTOTAL(9,I125:I134)</f>
        <v>0</v>
      </c>
      <c r="J124" s="59"/>
    </row>
    <row r="125" spans="1:10" s="18" customFormat="1" outlineLevel="2" x14ac:dyDescent="0.3">
      <c r="A125" s="37" t="s">
        <v>116</v>
      </c>
      <c r="B125" s="7"/>
      <c r="C125" s="7"/>
      <c r="D125" s="7"/>
      <c r="E125" s="7"/>
      <c r="F125" s="8"/>
      <c r="G125" s="7"/>
      <c r="H125" s="38"/>
      <c r="I125" s="26">
        <f t="shared" ref="I125:I133" si="33">F125*H125</f>
        <v>0</v>
      </c>
      <c r="J125" s="39"/>
    </row>
    <row r="126" spans="1:10" s="18" customFormat="1" outlineLevel="2" x14ac:dyDescent="0.3">
      <c r="A126" s="37" t="s">
        <v>117</v>
      </c>
      <c r="B126" s="7"/>
      <c r="C126" s="7"/>
      <c r="D126" s="7"/>
      <c r="E126" s="7"/>
      <c r="F126" s="8"/>
      <c r="G126" s="7"/>
      <c r="H126" s="38"/>
      <c r="I126" s="26">
        <f t="shared" si="33"/>
        <v>0</v>
      </c>
      <c r="J126" s="39"/>
    </row>
    <row r="127" spans="1:10" s="18" customFormat="1" outlineLevel="2" x14ac:dyDescent="0.3">
      <c r="A127" s="37" t="s">
        <v>118</v>
      </c>
      <c r="B127" s="7"/>
      <c r="C127" s="7"/>
      <c r="D127" s="7"/>
      <c r="E127" s="2"/>
      <c r="F127" s="8"/>
      <c r="G127" s="7"/>
      <c r="H127" s="38"/>
      <c r="I127" s="26">
        <f>F127*H127</f>
        <v>0</v>
      </c>
      <c r="J127" s="39"/>
    </row>
    <row r="128" spans="1:10" s="18" customFormat="1" outlineLevel="2" x14ac:dyDescent="0.3">
      <c r="A128" s="37" t="s">
        <v>119</v>
      </c>
      <c r="B128" s="7"/>
      <c r="C128" s="7"/>
      <c r="D128" s="7"/>
      <c r="E128" s="2"/>
      <c r="F128" s="8"/>
      <c r="G128" s="7"/>
      <c r="H128" s="38"/>
      <c r="I128" s="26">
        <f t="shared" si="33"/>
        <v>0</v>
      </c>
      <c r="J128" s="39"/>
    </row>
    <row r="129" spans="1:10" s="18" customFormat="1" outlineLevel="2" x14ac:dyDescent="0.3">
      <c r="A129" s="37" t="s">
        <v>120</v>
      </c>
      <c r="B129" s="7"/>
      <c r="C129" s="7"/>
      <c r="D129" s="7"/>
      <c r="E129" s="2"/>
      <c r="F129" s="8"/>
      <c r="G129" s="7"/>
      <c r="H129" s="38"/>
      <c r="I129" s="26">
        <f>F129*H129</f>
        <v>0</v>
      </c>
      <c r="J129" s="39"/>
    </row>
    <row r="130" spans="1:10" s="18" customFormat="1" outlineLevel="2" x14ac:dyDescent="0.3">
      <c r="A130" s="37" t="s">
        <v>121</v>
      </c>
      <c r="B130" s="7"/>
      <c r="C130" s="7"/>
      <c r="D130" s="7"/>
      <c r="E130" s="7"/>
      <c r="F130" s="8"/>
      <c r="G130" s="7"/>
      <c r="H130" s="38"/>
      <c r="I130" s="26">
        <f t="shared" si="33"/>
        <v>0</v>
      </c>
      <c r="J130" s="39"/>
    </row>
    <row r="131" spans="1:10" s="18" customFormat="1" outlineLevel="2" x14ac:dyDescent="0.3">
      <c r="A131" s="37" t="s">
        <v>122</v>
      </c>
      <c r="B131" s="7"/>
      <c r="C131" s="7"/>
      <c r="D131" s="7"/>
      <c r="E131" s="7"/>
      <c r="F131" s="8"/>
      <c r="G131" s="7"/>
      <c r="H131" s="38"/>
      <c r="I131" s="26">
        <f t="shared" si="33"/>
        <v>0</v>
      </c>
      <c r="J131" s="39"/>
    </row>
    <row r="132" spans="1:10" s="18" customFormat="1" outlineLevel="2" x14ac:dyDescent="0.3">
      <c r="A132" s="37" t="s">
        <v>123</v>
      </c>
      <c r="B132" s="7"/>
      <c r="C132" s="7"/>
      <c r="D132" s="7"/>
      <c r="E132" s="7"/>
      <c r="F132" s="8"/>
      <c r="G132" s="7"/>
      <c r="H132" s="38"/>
      <c r="I132" s="26">
        <f>F132*H132</f>
        <v>0</v>
      </c>
      <c r="J132" s="39"/>
    </row>
    <row r="133" spans="1:10" s="18" customFormat="1" outlineLevel="2" x14ac:dyDescent="0.3">
      <c r="A133" s="37" t="s">
        <v>124</v>
      </c>
      <c r="B133" s="7"/>
      <c r="C133" s="7"/>
      <c r="D133" s="7"/>
      <c r="E133" s="7"/>
      <c r="F133" s="8"/>
      <c r="G133" s="7"/>
      <c r="H133" s="38"/>
      <c r="I133" s="26">
        <f t="shared" si="33"/>
        <v>0</v>
      </c>
      <c r="J133" s="39"/>
    </row>
    <row r="134" spans="1:10" s="14" customFormat="1" ht="14.25" customHeight="1" x14ac:dyDescent="0.3">
      <c r="A134" s="33" t="s">
        <v>125</v>
      </c>
      <c r="B134" s="40"/>
      <c r="C134" s="40"/>
      <c r="D134" s="40"/>
      <c r="E134" s="40"/>
      <c r="F134" s="63"/>
      <c r="H134" s="34"/>
      <c r="I134" s="26">
        <f>SUBTOTAL(9,I135:I141)</f>
        <v>0</v>
      </c>
      <c r="J134" s="60"/>
    </row>
    <row r="135" spans="1:10" s="16" customFormat="1" outlineLevel="1" x14ac:dyDescent="0.3">
      <c r="A135" s="35" t="s">
        <v>213</v>
      </c>
      <c r="F135" s="64"/>
      <c r="H135" s="36"/>
      <c r="I135" s="26">
        <f>SUBTOTAL(9,I136:I137)</f>
        <v>0</v>
      </c>
      <c r="J135" s="59"/>
    </row>
    <row r="136" spans="1:10" s="18" customFormat="1" outlineLevel="2" x14ac:dyDescent="0.3">
      <c r="A136" s="37" t="s">
        <v>214</v>
      </c>
      <c r="B136" s="7"/>
      <c r="C136" s="7"/>
      <c r="D136" s="7"/>
      <c r="E136" s="2"/>
      <c r="F136" s="8"/>
      <c r="G136" s="7"/>
      <c r="H136" s="38"/>
      <c r="I136" s="26">
        <f>F136*H136</f>
        <v>0</v>
      </c>
      <c r="J136" s="39"/>
    </row>
    <row r="137" spans="1:10" s="16" customFormat="1" outlineLevel="1" x14ac:dyDescent="0.3">
      <c r="A137" s="35" t="s">
        <v>215</v>
      </c>
      <c r="F137" s="64"/>
      <c r="H137" s="36"/>
      <c r="I137" s="26">
        <f>SUBTOTAL(9,I138:I140)</f>
        <v>0</v>
      </c>
      <c r="J137" s="59"/>
    </row>
    <row r="138" spans="1:10" s="18" customFormat="1" outlineLevel="2" x14ac:dyDescent="0.3">
      <c r="A138" s="37" t="s">
        <v>216</v>
      </c>
      <c r="B138" s="7"/>
      <c r="C138" s="7"/>
      <c r="D138" s="7"/>
      <c r="E138" s="2"/>
      <c r="F138" s="8"/>
      <c r="G138" s="7"/>
      <c r="H138" s="38"/>
      <c r="I138" s="26">
        <f>F138*H138</f>
        <v>0</v>
      </c>
      <c r="J138" s="39"/>
    </row>
    <row r="139" spans="1:10" s="18" customFormat="1" outlineLevel="2" x14ac:dyDescent="0.3">
      <c r="A139" s="37" t="s">
        <v>217</v>
      </c>
      <c r="B139" s="7"/>
      <c r="C139" s="7"/>
      <c r="D139" s="7"/>
      <c r="E139" s="2"/>
      <c r="F139" s="8"/>
      <c r="G139" s="7"/>
      <c r="H139" s="38"/>
      <c r="I139" s="26">
        <f>F139*H139</f>
        <v>0</v>
      </c>
      <c r="J139" s="39"/>
    </row>
    <row r="140" spans="1:10" s="16" customFormat="1" outlineLevel="1" x14ac:dyDescent="0.3">
      <c r="A140" s="35" t="s">
        <v>218</v>
      </c>
      <c r="F140" s="64"/>
      <c r="H140" s="36"/>
      <c r="I140" s="26">
        <f>SUBTOTAL(9,I141:I141)</f>
        <v>0</v>
      </c>
      <c r="J140" s="59"/>
    </row>
    <row r="141" spans="1:10" s="18" customFormat="1" outlineLevel="2" x14ac:dyDescent="0.3">
      <c r="A141" s="37" t="s">
        <v>219</v>
      </c>
      <c r="B141" s="7"/>
      <c r="C141" s="7"/>
      <c r="D141" s="7"/>
      <c r="E141" s="2"/>
      <c r="F141" s="8"/>
      <c r="G141" s="7"/>
      <c r="H141" s="38"/>
      <c r="I141" s="26">
        <f>F141*H141</f>
        <v>0</v>
      </c>
      <c r="J141" s="39"/>
    </row>
    <row r="142" spans="1:10" s="14" customFormat="1" x14ac:dyDescent="0.3">
      <c r="A142" s="33" t="s">
        <v>126</v>
      </c>
      <c r="F142" s="63"/>
      <c r="H142" s="34"/>
      <c r="I142" s="26">
        <f>SUBTOTAL(9,I143:I147)</f>
        <v>0</v>
      </c>
      <c r="J142" s="60"/>
    </row>
    <row r="143" spans="1:10" s="16" customFormat="1" outlineLevel="1" x14ac:dyDescent="0.3">
      <c r="A143" s="35" t="s">
        <v>220</v>
      </c>
      <c r="F143" s="64"/>
      <c r="H143" s="36"/>
      <c r="I143" s="26">
        <f>SUBTOTAL(9,I144:I146)</f>
        <v>0</v>
      </c>
      <c r="J143" s="59"/>
    </row>
    <row r="144" spans="1:10" s="18" customFormat="1" outlineLevel="2" x14ac:dyDescent="0.3">
      <c r="A144" s="37" t="s">
        <v>127</v>
      </c>
      <c r="B144" s="7"/>
      <c r="C144" s="7"/>
      <c r="D144" s="7"/>
      <c r="E144" s="2"/>
      <c r="F144" s="8"/>
      <c r="G144" s="7"/>
      <c r="H144" s="38"/>
      <c r="I144" s="26">
        <f>F144*H144</f>
        <v>0</v>
      </c>
      <c r="J144" s="39"/>
    </row>
    <row r="145" spans="1:10" s="18" customFormat="1" outlineLevel="2" x14ac:dyDescent="0.3">
      <c r="A145" s="37" t="s">
        <v>128</v>
      </c>
      <c r="B145" s="7"/>
      <c r="C145" s="7"/>
      <c r="D145" s="7"/>
      <c r="E145" s="2"/>
      <c r="F145" s="8"/>
      <c r="G145" s="7"/>
      <c r="H145" s="38"/>
      <c r="I145" s="26">
        <f>F145*H145</f>
        <v>0</v>
      </c>
      <c r="J145" s="39"/>
    </row>
    <row r="146" spans="1:10" s="16" customFormat="1" outlineLevel="1" x14ac:dyDescent="0.3">
      <c r="A146" s="35" t="s">
        <v>129</v>
      </c>
      <c r="F146" s="64"/>
      <c r="H146" s="36"/>
      <c r="I146" s="26">
        <f>SUBTOTAL(9,I147:I148)</f>
        <v>0</v>
      </c>
      <c r="J146" s="59"/>
    </row>
    <row r="147" spans="1:10" s="18" customFormat="1" outlineLevel="2" x14ac:dyDescent="0.3">
      <c r="A147" s="37" t="s">
        <v>130</v>
      </c>
      <c r="B147" s="7"/>
      <c r="C147" s="7"/>
      <c r="D147" s="7"/>
      <c r="E147" s="7"/>
      <c r="F147" s="8"/>
      <c r="G147" s="7"/>
      <c r="H147" s="38"/>
      <c r="I147" s="26">
        <f>F147*H147</f>
        <v>0</v>
      </c>
      <c r="J147" s="39"/>
    </row>
    <row r="148" spans="1:10" s="14" customFormat="1" x14ac:dyDescent="0.3">
      <c r="A148" s="33" t="s">
        <v>131</v>
      </c>
      <c r="F148" s="63"/>
      <c r="H148" s="34"/>
      <c r="I148" s="26">
        <f>SUBTOTAL(9,I149:I152)</f>
        <v>0</v>
      </c>
      <c r="J148" s="60"/>
    </row>
    <row r="149" spans="1:10" s="16" customFormat="1" outlineLevel="1" x14ac:dyDescent="0.3">
      <c r="A149" s="35" t="s">
        <v>132</v>
      </c>
      <c r="F149" s="64"/>
      <c r="H149" s="36"/>
      <c r="I149" s="26">
        <f>SUBTOTAL(9,I150:I151)</f>
        <v>0</v>
      </c>
      <c r="J149" s="59"/>
    </row>
    <row r="150" spans="1:10" s="18" customFormat="1" outlineLevel="2" x14ac:dyDescent="0.3">
      <c r="A150" s="37" t="s">
        <v>133</v>
      </c>
      <c r="B150" s="7"/>
      <c r="C150" s="7"/>
      <c r="D150" s="7"/>
      <c r="E150" s="7"/>
      <c r="F150" s="8"/>
      <c r="G150" s="7"/>
      <c r="H150" s="38"/>
      <c r="I150" s="26">
        <f>F150*H150</f>
        <v>0</v>
      </c>
      <c r="J150" s="39"/>
    </row>
    <row r="151" spans="1:10" s="16" customFormat="1" outlineLevel="1" x14ac:dyDescent="0.3">
      <c r="A151" s="35" t="s">
        <v>134</v>
      </c>
      <c r="F151" s="64"/>
      <c r="H151" s="36"/>
      <c r="I151" s="26">
        <f>SUBTOTAL(9,I152:I153)</f>
        <v>0</v>
      </c>
      <c r="J151" s="59"/>
    </row>
    <row r="152" spans="1:10" s="18" customFormat="1" outlineLevel="2" x14ac:dyDescent="0.3">
      <c r="A152" s="37" t="s">
        <v>135</v>
      </c>
      <c r="B152" s="7"/>
      <c r="C152" s="7"/>
      <c r="D152" s="7"/>
      <c r="E152" s="7"/>
      <c r="F152" s="8"/>
      <c r="G152" s="7"/>
      <c r="H152" s="38"/>
      <c r="I152" s="26">
        <f>F152*H152</f>
        <v>0</v>
      </c>
      <c r="J152" s="39"/>
    </row>
    <row r="153" spans="1:10" s="14" customFormat="1" x14ac:dyDescent="0.3">
      <c r="A153" s="33" t="s">
        <v>136</v>
      </c>
      <c r="B153" s="40"/>
      <c r="C153" s="40"/>
      <c r="D153" s="40"/>
      <c r="E153" s="40"/>
      <c r="F153" s="63"/>
      <c r="H153" s="34"/>
      <c r="I153" s="26">
        <f>SUBTOTAL(9,I154:I167)</f>
        <v>0</v>
      </c>
      <c r="J153" s="60"/>
    </row>
    <row r="154" spans="1:10" s="16" customFormat="1" outlineLevel="1" x14ac:dyDescent="0.3">
      <c r="A154" s="35" t="s">
        <v>137</v>
      </c>
      <c r="F154" s="64"/>
      <c r="H154" s="36"/>
      <c r="I154" s="26">
        <f>SUBTOTAL(9,I155:I160)</f>
        <v>0</v>
      </c>
      <c r="J154" s="59"/>
    </row>
    <row r="155" spans="1:10" s="18" customFormat="1" outlineLevel="2" x14ac:dyDescent="0.3">
      <c r="A155" s="37" t="s">
        <v>138</v>
      </c>
      <c r="B155" s="7"/>
      <c r="C155" s="7"/>
      <c r="D155" s="7"/>
      <c r="E155" s="7"/>
      <c r="F155" s="8"/>
      <c r="G155" s="7"/>
      <c r="H155" s="38"/>
      <c r="I155" s="26">
        <f>F155*H155</f>
        <v>0</v>
      </c>
      <c r="J155" s="39"/>
    </row>
    <row r="156" spans="1:10" s="18" customFormat="1" outlineLevel="2" x14ac:dyDescent="0.3">
      <c r="A156" s="37" t="s">
        <v>139</v>
      </c>
      <c r="B156" s="7"/>
      <c r="C156" s="7"/>
      <c r="D156" s="7"/>
      <c r="E156" s="7"/>
      <c r="F156" s="8"/>
      <c r="G156" s="7"/>
      <c r="H156" s="38"/>
      <c r="I156" s="26">
        <f>F156*H156</f>
        <v>0</v>
      </c>
      <c r="J156" s="39"/>
    </row>
    <row r="157" spans="1:10" s="18" customFormat="1" outlineLevel="2" x14ac:dyDescent="0.3">
      <c r="A157" s="37" t="s">
        <v>140</v>
      </c>
      <c r="B157" s="7"/>
      <c r="C157" s="7"/>
      <c r="D157" s="7"/>
      <c r="E157" s="7"/>
      <c r="F157" s="8"/>
      <c r="G157" s="7"/>
      <c r="H157" s="38"/>
      <c r="I157" s="26">
        <f>F157*H157</f>
        <v>0</v>
      </c>
      <c r="J157" s="39"/>
    </row>
    <row r="158" spans="1:10" s="18" customFormat="1" outlineLevel="2" x14ac:dyDescent="0.3">
      <c r="A158" s="37" t="s">
        <v>141</v>
      </c>
      <c r="B158" s="7"/>
      <c r="C158" s="7"/>
      <c r="D158" s="7"/>
      <c r="E158" s="7"/>
      <c r="F158" s="8"/>
      <c r="G158" s="7"/>
      <c r="H158" s="38"/>
      <c r="I158" s="26">
        <f>F158*H158</f>
        <v>0</v>
      </c>
      <c r="J158" s="39"/>
    </row>
    <row r="159" spans="1:10" s="18" customFormat="1" outlineLevel="2" x14ac:dyDescent="0.3">
      <c r="A159" s="37" t="s">
        <v>142</v>
      </c>
      <c r="B159" s="7"/>
      <c r="C159" s="7"/>
      <c r="D159" s="7"/>
      <c r="E159" s="7"/>
      <c r="F159" s="8"/>
      <c r="G159" s="7"/>
      <c r="H159" s="38"/>
      <c r="I159" s="26">
        <f>F159*H159</f>
        <v>0</v>
      </c>
      <c r="J159" s="39"/>
    </row>
    <row r="160" spans="1:10" s="16" customFormat="1" outlineLevel="1" x14ac:dyDescent="0.3">
      <c r="A160" s="35" t="s">
        <v>143</v>
      </c>
      <c r="F160" s="64"/>
      <c r="H160" s="36"/>
      <c r="I160" s="26">
        <f>SUBTOTAL(9,I161:I167)</f>
        <v>0</v>
      </c>
      <c r="J160" s="59"/>
    </row>
    <row r="161" spans="1:10" s="18" customFormat="1" outlineLevel="2" x14ac:dyDescent="0.3">
      <c r="A161" s="37" t="s">
        <v>144</v>
      </c>
      <c r="B161" s="7"/>
      <c r="C161" s="7"/>
      <c r="D161" s="7"/>
      <c r="E161" s="7"/>
      <c r="F161" s="8"/>
      <c r="G161" s="7"/>
      <c r="H161" s="38"/>
      <c r="I161" s="26">
        <f t="shared" ref="I161:I166" si="34">F161*H161</f>
        <v>0</v>
      </c>
      <c r="J161" s="39"/>
    </row>
    <row r="162" spans="1:10" s="18" customFormat="1" outlineLevel="2" x14ac:dyDescent="0.3">
      <c r="A162" s="37" t="s">
        <v>145</v>
      </c>
      <c r="B162" s="7"/>
      <c r="C162" s="7"/>
      <c r="D162" s="7"/>
      <c r="E162" s="7"/>
      <c r="F162" s="8"/>
      <c r="G162" s="7"/>
      <c r="H162" s="38"/>
      <c r="I162" s="26">
        <f t="shared" si="34"/>
        <v>0</v>
      </c>
      <c r="J162" s="39"/>
    </row>
    <row r="163" spans="1:10" s="18" customFormat="1" outlineLevel="2" x14ac:dyDescent="0.3">
      <c r="A163" s="37" t="s">
        <v>146</v>
      </c>
      <c r="B163" s="7"/>
      <c r="C163" s="7"/>
      <c r="D163" s="7"/>
      <c r="E163" s="7"/>
      <c r="F163" s="8"/>
      <c r="G163" s="7"/>
      <c r="H163" s="38"/>
      <c r="I163" s="26">
        <f t="shared" si="34"/>
        <v>0</v>
      </c>
      <c r="J163" s="39"/>
    </row>
    <row r="164" spans="1:10" s="18" customFormat="1" outlineLevel="2" x14ac:dyDescent="0.3">
      <c r="A164" s="37" t="s">
        <v>147</v>
      </c>
      <c r="B164" s="7"/>
      <c r="C164" s="7"/>
      <c r="D164" s="7"/>
      <c r="E164" s="7"/>
      <c r="F164" s="8"/>
      <c r="G164" s="7"/>
      <c r="H164" s="38"/>
      <c r="I164" s="26">
        <f t="shared" si="34"/>
        <v>0</v>
      </c>
      <c r="J164" s="39"/>
    </row>
    <row r="165" spans="1:10" s="18" customFormat="1" outlineLevel="2" x14ac:dyDescent="0.3">
      <c r="A165" s="37" t="s">
        <v>148</v>
      </c>
      <c r="B165" s="7"/>
      <c r="C165" s="7"/>
      <c r="D165" s="7"/>
      <c r="E165" s="7"/>
      <c r="F165" s="8"/>
      <c r="G165" s="7"/>
      <c r="H165" s="38"/>
      <c r="I165" s="26">
        <f t="shared" si="34"/>
        <v>0</v>
      </c>
      <c r="J165" s="39"/>
    </row>
    <row r="166" spans="1:10" s="18" customFormat="1" outlineLevel="2" x14ac:dyDescent="0.3">
      <c r="A166" s="37" t="s">
        <v>149</v>
      </c>
      <c r="B166" s="7"/>
      <c r="C166" s="7"/>
      <c r="D166" s="7"/>
      <c r="E166" s="7"/>
      <c r="F166" s="8"/>
      <c r="G166" s="7"/>
      <c r="H166" s="38"/>
      <c r="I166" s="26">
        <f t="shared" si="34"/>
        <v>0</v>
      </c>
      <c r="J166" s="39"/>
    </row>
    <row r="167" spans="1:10" s="14" customFormat="1" x14ac:dyDescent="0.3">
      <c r="A167" s="33"/>
      <c r="B167" s="40"/>
      <c r="C167" s="40"/>
      <c r="D167" s="40"/>
      <c r="E167" s="40"/>
      <c r="F167" s="63"/>
      <c r="H167" s="34"/>
    </row>
    <row r="169" spans="1:10" x14ac:dyDescent="0.3">
      <c r="J169" s="58"/>
    </row>
    <row r="170" spans="1:10" x14ac:dyDescent="0.3">
      <c r="J170" s="58"/>
    </row>
    <row r="171" spans="1:10" x14ac:dyDescent="0.3">
      <c r="J171" s="58"/>
    </row>
    <row r="172" spans="1:10" x14ac:dyDescent="0.3">
      <c r="J172" s="58"/>
    </row>
    <row r="173" spans="1:10" x14ac:dyDescent="0.3">
      <c r="J173" s="57"/>
    </row>
  </sheetData>
  <autoFilter ref="A8:J167" xr:uid="{6EFC76D6-F2C1-4A62-9CBE-3B0ECEFA92AC}"/>
  <phoneticPr fontId="7" type="noConversion"/>
  <conditionalFormatting sqref="J7">
    <cfRule type="expression" dxfId="0" priority="2">
      <formula>$J$7="FOUT"</formula>
    </cfRule>
  </conditionalFormatting>
  <dataValidations count="5">
    <dataValidation type="list" allowBlank="1" showInputMessage="1" showErrorMessage="1" sqref="F151 F146 F148:F149 F142" xr:uid="{142CE174-840D-4793-9D1F-A6B1A3B2CD25}">
      <formula1>SysVarBuiltSpace</formula1>
    </dataValidation>
    <dataValidation type="list" allowBlank="1" showInputMessage="1" showErrorMessage="1" sqref="F79:G79 E9:E167" xr:uid="{7E86C839-99CB-4DC5-9627-EC5D6DF708D3}">
      <formula1>SysVar_Zones</formula1>
    </dataValidation>
    <dataValidation type="list" allowBlank="1" showInputMessage="1" showErrorMessage="1" sqref="D9:D167" xr:uid="{65B21CA8-0758-46F4-BC0B-44785D0A89E8}">
      <formula1>SysVar_Storeys</formula1>
    </dataValidation>
    <dataValidation type="list" allowBlank="1" showInputMessage="1" showErrorMessage="1" sqref="C9:C167" xr:uid="{3D031CAC-0F86-4D1E-B1F7-06144EFF5A7B}">
      <formula1>SysVar_Subproject</formula1>
    </dataValidation>
    <dataValidation type="list" allowBlank="1" showInputMessage="1" showErrorMessage="1" sqref="B8:B167" xr:uid="{877F30FD-8911-4623-85A6-3F1D345E0313}">
      <formula1>SysVar_Entities</formula1>
    </dataValidation>
  </dataValidations>
  <pageMargins left="0.70866141732283472" right="0.70866141732283472" top="1.1417322834645669" bottom="0.74803149606299213" header="0.31496062992125984" footer="0.31496062992125984"/>
  <pageSetup paperSize="8" scale="55" fitToHeight="0" orientation="landscape" r:id="rId1"/>
  <headerFooter>
    <oddHeader>&amp;L&amp;G&amp;R&amp;F - &amp;A
afdruk dd.&amp;D
p.&amp;P van &amp;N</oddHeader>
    <oddFooter>&amp;LPowered by BouwData©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DD43-F385-41CF-A883-777F86A797F7}">
  <dimension ref="B3"/>
  <sheetViews>
    <sheetView workbookViewId="0"/>
  </sheetViews>
  <sheetFormatPr defaultRowHeight="14.4" x14ac:dyDescent="0.3"/>
  <sheetData>
    <row r="3" spans="2:2" x14ac:dyDescent="0.3">
      <c r="B3" s="1"/>
    </row>
  </sheetData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p.&amp;P van &amp;N
afdruk dd.&amp;D</oddHeader>
    <oddFooter>&amp;LAll rights reserved by PB calc &amp; consult BV</oddFooter>
  </headerFooter>
  <legacyDrawingHF r:id="rId2"/>
</worksheet>
</file>

<file path=docMetadata/LabelInfo.xml><?xml version="1.0" encoding="utf-8"?>
<clbl:labelList xmlns:clbl="http://schemas.microsoft.com/office/2020/mipLabelMetadata">
  <clbl:label id="{0c0338a6-9561-4ee8-b8d6-4e89cbd520a0}" enabled="0" method="" siteId="{0c0338a6-9561-4ee8-b8d6-4e89cbd520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31</vt:i4>
      </vt:variant>
    </vt:vector>
  </HeadingPairs>
  <TitlesOfParts>
    <vt:vector size="39" baseType="lpstr">
      <vt:lpstr>Entities</vt:lpstr>
      <vt:lpstr>Subprojects</vt:lpstr>
      <vt:lpstr>Storeys</vt:lpstr>
      <vt:lpstr>Zones</vt:lpstr>
      <vt:lpstr>opmeting NBN EN15221-6</vt:lpstr>
      <vt:lpstr>KKG</vt:lpstr>
      <vt:lpstr>raming NEN2699</vt:lpstr>
      <vt:lpstr>blanco</vt:lpstr>
      <vt:lpstr>opmeting_building_footprint</vt:lpstr>
      <vt:lpstr>opmeting_dak</vt:lpstr>
      <vt:lpstr>opmeting_EA</vt:lpstr>
      <vt:lpstr>opmeting_entity</vt:lpstr>
      <vt:lpstr>opmeting_gevel</vt:lpstr>
      <vt:lpstr>opmeting_GFAA</vt:lpstr>
      <vt:lpstr>opmeting_GFAB</vt:lpstr>
      <vt:lpstr>opmeting_GFAC</vt:lpstr>
      <vt:lpstr>opmeting_LA</vt:lpstr>
      <vt:lpstr>opmeting_NLA</vt:lpstr>
      <vt:lpstr>opmeting_storey</vt:lpstr>
      <vt:lpstr>opmeting_subproject</vt:lpstr>
      <vt:lpstr>opmeting_verlaagd_buitenplafond</vt:lpstr>
      <vt:lpstr>opmeting_zone</vt:lpstr>
      <vt:lpstr>raming_entity</vt:lpstr>
      <vt:lpstr>raming_storey</vt:lpstr>
      <vt:lpstr>raming_subproject</vt:lpstr>
      <vt:lpstr>raming_subtotaal</vt:lpstr>
      <vt:lpstr>raming_zone</vt:lpstr>
      <vt:lpstr>Stage1Entity</vt:lpstr>
      <vt:lpstr>Stage1Storey</vt:lpstr>
      <vt:lpstr>Stage1Subproject</vt:lpstr>
      <vt:lpstr>Stage1Subtotaal</vt:lpstr>
      <vt:lpstr>Stage1ZoneKstpl</vt:lpstr>
      <vt:lpstr>SysVar_Entities</vt:lpstr>
      <vt:lpstr>SysVar_Storeys</vt:lpstr>
      <vt:lpstr>SysVar_Subproject</vt:lpstr>
      <vt:lpstr>SysVar_Zones</vt:lpstr>
      <vt:lpstr>Tbl_opmeting_NBNEN152216</vt:lpstr>
      <vt:lpstr>Tbl_raming</vt:lpstr>
      <vt:lpstr>Tbl_zones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Peggy Bovens</cp:lastModifiedBy>
  <cp:lastPrinted>2025-04-18T09:39:06Z</cp:lastPrinted>
  <dcterms:created xsi:type="dcterms:W3CDTF">2021-07-21T13:49:40Z</dcterms:created>
  <dcterms:modified xsi:type="dcterms:W3CDTF">2025-05-19T07:26:41Z</dcterms:modified>
</cp:coreProperties>
</file>