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100063_Agentschap Facilitair Bedrijf/04-projecten/"/>
    </mc:Choice>
  </mc:AlternateContent>
  <xr:revisionPtr revIDLastSave="630" documentId="13_ncr:1_{A8F9F6FC-2DF7-4787-AFE2-FFB92A550672}" xr6:coauthVersionLast="47" xr6:coauthVersionMax="47" xr10:uidLastSave="{7BE08CCE-B9A3-4867-A43E-E0B0BD022A6A}"/>
  <bookViews>
    <workbookView xWindow="-108" yWindow="-108" windowWidth="23256" windowHeight="12456" activeTab="4" xr2:uid="{7CD554F9-4FD5-497E-82FA-2627E86FE121}"/>
  </bookViews>
  <sheets>
    <sheet name="Design" sheetId="1" r:id="rId1"/>
    <sheet name="Cost" sheetId="2" r:id="rId2"/>
    <sheet name="Cost FR" sheetId="6" state="hidden" r:id="rId3"/>
    <sheet name="Remarks" sheetId="5" r:id="rId4"/>
    <sheet name="Complex_Design" sheetId="7" r:id="rId5"/>
    <sheet name="Complex_Cost" sheetId="8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8" l="1"/>
  <c r="E5" i="8"/>
  <c r="B18" i="8" s="1"/>
  <c r="B20" i="8" s="1"/>
  <c r="E6" i="8"/>
  <c r="B22" i="8" s="1"/>
  <c r="D6" i="8"/>
  <c r="C6" i="8"/>
  <c r="C5" i="8"/>
  <c r="C4" i="8" s="1"/>
  <c r="E4" i="8" s="1"/>
  <c r="B5" i="8"/>
  <c r="E57" i="7" l="1"/>
  <c r="C22" i="2"/>
  <c r="E59" i="7"/>
  <c r="F59" i="7"/>
  <c r="C12" i="8" l="1"/>
  <c r="C8" i="8"/>
  <c r="C9" i="8" l="1"/>
  <c r="C10" i="8"/>
  <c r="C14" i="8"/>
  <c r="C13" i="8"/>
  <c r="D12" i="8"/>
  <c r="D13" i="8" s="1"/>
  <c r="E22" i="2"/>
  <c r="B24" i="8" l="1"/>
  <c r="E47" i="7" l="1"/>
  <c r="E52" i="7"/>
  <c r="E18" i="2" l="1"/>
  <c r="F57" i="7"/>
  <c r="D59" i="7"/>
  <c r="D44" i="7"/>
  <c r="G44" i="7" s="1"/>
  <c r="G37" i="7"/>
  <c r="G36" i="7"/>
  <c r="G35" i="7"/>
  <c r="G34" i="7"/>
  <c r="G33" i="7"/>
  <c r="G31" i="7"/>
  <c r="G30" i="7"/>
  <c r="G29" i="7"/>
  <c r="G28" i="7"/>
  <c r="G27" i="7"/>
  <c r="G26" i="7"/>
  <c r="G25" i="7"/>
  <c r="F21" i="7"/>
  <c r="E21" i="7"/>
  <c r="D21" i="7"/>
  <c r="G55" i="7"/>
  <c r="G54" i="7"/>
  <c r="G53" i="7"/>
  <c r="G52" i="7"/>
  <c r="G51" i="7"/>
  <c r="G49" i="7"/>
  <c r="G48" i="7"/>
  <c r="G47" i="7"/>
  <c r="G46" i="7"/>
  <c r="G45" i="7"/>
  <c r="G43" i="7"/>
  <c r="F39" i="7"/>
  <c r="E39" i="7"/>
  <c r="D10" i="7"/>
  <c r="D5" i="7" s="1"/>
  <c r="G19" i="7"/>
  <c r="G18" i="7"/>
  <c r="G17" i="7"/>
  <c r="G16" i="7"/>
  <c r="G9" i="7"/>
  <c r="G11" i="7"/>
  <c r="G12" i="7"/>
  <c r="G13" i="7"/>
  <c r="G14" i="7"/>
  <c r="G8" i="7"/>
  <c r="E5" i="7"/>
  <c r="F5" i="7"/>
  <c r="D39" i="7" l="1"/>
  <c r="D2" i="7" s="1"/>
  <c r="B4" i="8" s="1"/>
  <c r="G59" i="7"/>
  <c r="E22" i="7"/>
  <c r="E60" i="7"/>
  <c r="F60" i="7"/>
  <c r="D60" i="7"/>
  <c r="E58" i="7"/>
  <c r="F58" i="7"/>
  <c r="F22" i="7"/>
  <c r="D22" i="7"/>
  <c r="F40" i="7"/>
  <c r="E40" i="7"/>
  <c r="F2" i="7"/>
  <c r="D4" i="8" s="1"/>
  <c r="E2" i="7"/>
  <c r="G21" i="7"/>
  <c r="G24" i="7"/>
  <c r="G5" i="7"/>
  <c r="G32" i="7"/>
  <c r="G15" i="7"/>
  <c r="G10" i="7"/>
  <c r="G7" i="7" s="1"/>
  <c r="G50" i="7"/>
  <c r="G42" i="7"/>
  <c r="G39" i="7" l="1"/>
  <c r="G40" i="7" s="1"/>
  <c r="D40" i="7"/>
  <c r="G60" i="7"/>
  <c r="G22" i="7"/>
  <c r="G2" i="7"/>
  <c r="B31" i="1" l="1"/>
  <c r="B17" i="1"/>
  <c r="E12" i="2" l="1"/>
  <c r="C35" i="2"/>
  <c r="B37" i="1" l="1"/>
  <c r="B36" i="5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3" i="5"/>
  <c r="E3" i="5" s="1"/>
  <c r="B35" i="1"/>
  <c r="B34" i="1"/>
  <c r="B15" i="1"/>
  <c r="E32" i="2" s="1"/>
  <c r="B30" i="1" l="1"/>
  <c r="D57" i="7" s="1"/>
  <c r="E11" i="2"/>
  <c r="E23" i="2"/>
  <c r="E9" i="2"/>
  <c r="E20" i="1"/>
  <c r="E19" i="1"/>
  <c r="D26" i="1"/>
  <c r="D24" i="1"/>
  <c r="D17" i="1"/>
  <c r="D16" i="1"/>
  <c r="B36" i="1" l="1"/>
  <c r="G57" i="7"/>
  <c r="G58" i="7" s="1"/>
  <c r="D58" i="7"/>
  <c r="D15" i="1"/>
  <c r="D39" i="2"/>
  <c r="D32" i="2" s="1"/>
  <c r="D23" i="2" s="1"/>
  <c r="D11" i="2" s="1"/>
  <c r="D9" i="2" s="1"/>
  <c r="C39" i="2"/>
  <c r="C32" i="2" s="1"/>
  <c r="C23" i="2" s="1"/>
  <c r="C11" i="2" s="1"/>
  <c r="D46" i="2"/>
  <c r="C46" i="2"/>
  <c r="G7" i="2"/>
  <c r="E44" i="2"/>
  <c r="E43" i="2"/>
  <c r="E40" i="2"/>
  <c r="G40" i="2" s="1"/>
  <c r="E39" i="2"/>
  <c r="G39" i="2" s="1"/>
  <c r="G22" i="2"/>
  <c r="E38" i="2"/>
  <c r="E37" i="2"/>
  <c r="E34" i="2"/>
  <c r="E33" i="2"/>
  <c r="G29" i="2"/>
  <c r="E21" i="2"/>
  <c r="E17" i="2"/>
  <c r="E16" i="2"/>
  <c r="E13" i="2"/>
  <c r="G13" i="2" s="1"/>
  <c r="E8" i="2"/>
  <c r="G8" i="2" s="1"/>
  <c r="E6" i="2"/>
  <c r="E4" i="2"/>
  <c r="D46" i="6"/>
  <c r="C46" i="6"/>
  <c r="D47" i="6" s="1"/>
  <c r="G42" i="6"/>
  <c r="G41" i="6"/>
  <c r="E40" i="6"/>
  <c r="E43" i="6" s="1"/>
  <c r="G43" i="6" s="1"/>
  <c r="D39" i="6"/>
  <c r="D32" i="6" s="1"/>
  <c r="D23" i="6" s="1"/>
  <c r="D11" i="6" s="1"/>
  <c r="D9" i="6" s="1"/>
  <c r="C39" i="6"/>
  <c r="G36" i="6"/>
  <c r="G35" i="6"/>
  <c r="C32" i="6"/>
  <c r="C23" i="6" s="1"/>
  <c r="C11" i="6" s="1"/>
  <c r="G30" i="6"/>
  <c r="E22" i="6"/>
  <c r="G22" i="6" s="1"/>
  <c r="G20" i="6"/>
  <c r="G19" i="6"/>
  <c r="E18" i="6"/>
  <c r="G18" i="6" s="1"/>
  <c r="E15" i="6"/>
  <c r="G15" i="6" s="1"/>
  <c r="E14" i="6"/>
  <c r="G14" i="6" s="1"/>
  <c r="E13" i="6"/>
  <c r="G13" i="6" s="1"/>
  <c r="G12" i="6"/>
  <c r="E9" i="6"/>
  <c r="G9" i="6" s="1"/>
  <c r="E8" i="6"/>
  <c r="G8" i="6" s="1"/>
  <c r="G7" i="6"/>
  <c r="E4" i="6"/>
  <c r="E6" i="6" s="1"/>
  <c r="G6" i="6" s="1"/>
  <c r="D4" i="6"/>
  <c r="C4" i="6"/>
  <c r="D5" i="6" s="1"/>
  <c r="B1" i="6"/>
  <c r="G18" i="2"/>
  <c r="E15" i="2"/>
  <c r="G15" i="2" s="1"/>
  <c r="E14" i="2"/>
  <c r="G14" i="2" s="1"/>
  <c r="G42" i="2"/>
  <c r="G41" i="2"/>
  <c r="G36" i="2"/>
  <c r="G35" i="2"/>
  <c r="G19" i="2"/>
  <c r="G20" i="2"/>
  <c r="G12" i="2"/>
  <c r="B1" i="5"/>
  <c r="B1" i="2"/>
  <c r="E23" i="1"/>
  <c r="C4" i="2"/>
  <c r="D4" i="2"/>
  <c r="B8" i="8" l="1"/>
  <c r="C9" i="2"/>
  <c r="G32" i="2"/>
  <c r="G23" i="2"/>
  <c r="E34" i="6"/>
  <c r="G34" i="6" s="1"/>
  <c r="E16" i="6"/>
  <c r="G16" i="6" s="1"/>
  <c r="G11" i="2"/>
  <c r="E44" i="6"/>
  <c r="G44" i="6" s="1"/>
  <c r="D5" i="2"/>
  <c r="G6" i="2"/>
  <c r="G44" i="2"/>
  <c r="E24" i="6"/>
  <c r="G24" i="6" s="1"/>
  <c r="E26" i="6"/>
  <c r="G26" i="6" s="1"/>
  <c r="G30" i="2"/>
  <c r="G31" i="2"/>
  <c r="G34" i="2"/>
  <c r="G4" i="2"/>
  <c r="G37" i="2"/>
  <c r="G16" i="2"/>
  <c r="G27" i="2"/>
  <c r="G38" i="2"/>
  <c r="E21" i="6"/>
  <c r="G21" i="6" s="1"/>
  <c r="E31" i="6"/>
  <c r="G31" i="6" s="1"/>
  <c r="G25" i="2"/>
  <c r="G26" i="2"/>
  <c r="E11" i="6"/>
  <c r="G11" i="6" s="1"/>
  <c r="G17" i="2"/>
  <c r="G28" i="2"/>
  <c r="E39" i="6"/>
  <c r="G39" i="6" s="1"/>
  <c r="G43" i="2"/>
  <c r="E23" i="6"/>
  <c r="G23" i="6" s="1"/>
  <c r="E33" i="6"/>
  <c r="G33" i="6" s="1"/>
  <c r="G21" i="2"/>
  <c r="G24" i="2"/>
  <c r="G33" i="2"/>
  <c r="E27" i="6"/>
  <c r="G27" i="6" s="1"/>
  <c r="E28" i="6"/>
  <c r="G28" i="6" s="1"/>
  <c r="E38" i="6"/>
  <c r="G38" i="6" s="1"/>
  <c r="E45" i="6"/>
  <c r="G45" i="6" s="1"/>
  <c r="C9" i="6"/>
  <c r="G4" i="6"/>
  <c r="E17" i="6"/>
  <c r="G17" i="6" s="1"/>
  <c r="E25" i="6"/>
  <c r="G25" i="6" s="1"/>
  <c r="E29" i="6"/>
  <c r="G29" i="6" s="1"/>
  <c r="E32" i="6"/>
  <c r="G32" i="6" s="1"/>
  <c r="E37" i="6"/>
  <c r="G37" i="6" s="1"/>
  <c r="G40" i="6"/>
  <c r="D47" i="2"/>
  <c r="G46" i="2" l="1"/>
  <c r="B30" i="8"/>
  <c r="E8" i="8"/>
  <c r="G9" i="2"/>
  <c r="D10" i="2"/>
  <c r="G46" i="6"/>
  <c r="D10" i="6"/>
  <c r="D9" i="1"/>
  <c r="D8" i="1"/>
  <c r="E21" i="1"/>
  <c r="E22" i="1"/>
  <c r="E11" i="1"/>
  <c r="E12" i="1"/>
  <c r="E13" i="1"/>
  <c r="E10" i="1"/>
  <c r="E9" i="8" l="1"/>
  <c r="E10" i="8"/>
  <c r="C20" i="8" s="1"/>
  <c r="D20" i="8" s="1"/>
  <c r="E18" i="1"/>
  <c r="D7" i="1"/>
  <c r="E9" i="1"/>
  <c r="E12" i="8" l="1"/>
  <c r="E13" i="8" l="1"/>
  <c r="E14" i="8"/>
  <c r="C24" i="8" s="1"/>
  <c r="D2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bovens</author>
  </authors>
  <commentList>
    <comment ref="B2" authorId="0" shapeId="0" xr:uid="{1A9F9A21-CECA-4962-BD7E-370575888CDF}">
      <text>
        <r>
          <rPr>
            <b/>
            <sz val="9"/>
            <color indexed="81"/>
            <rFont val="Tahoma"/>
            <family val="2"/>
          </rPr>
          <t>datum PV van opening</t>
        </r>
      </text>
    </comment>
    <comment ref="B12" authorId="0" shapeId="0" xr:uid="{06EF69A7-60E7-4831-AC5A-E6E38F76032F}">
      <text>
        <r>
          <rPr>
            <b/>
            <sz val="9"/>
            <color indexed="81"/>
            <rFont val="Tahoma"/>
            <family val="2"/>
          </rPr>
          <t>dakdichting kelder nog toe te voegen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bovens</author>
  </authors>
  <commentList>
    <comment ref="E10" authorId="0" shapeId="0" xr:uid="{CCF097FD-CAC7-4A4C-B7A3-9A29953DCCDA}">
      <text>
        <r>
          <rPr>
            <i/>
            <sz val="9"/>
            <color indexed="81"/>
            <rFont val="Tahoma"/>
            <family val="2"/>
          </rPr>
          <t xml:space="preserve">halve verdiepingshoogte
</t>
        </r>
      </text>
    </comment>
    <comment ref="E27" authorId="0" shapeId="0" xr:uid="{87D8E79C-48E8-49FF-94DC-5DECAB37430D}">
      <text>
        <r>
          <rPr>
            <i/>
            <sz val="9"/>
            <color indexed="81"/>
            <rFont val="Tahoma"/>
            <family val="2"/>
          </rPr>
          <t xml:space="preserve">halve verdiepingshoogte
</t>
        </r>
      </text>
    </comment>
    <comment ref="E45" authorId="0" shapeId="0" xr:uid="{766C2606-9603-4124-9485-8088F140E137}">
      <text>
        <r>
          <rPr>
            <i/>
            <sz val="9"/>
            <color indexed="81"/>
            <rFont val="Tahoma"/>
            <family val="2"/>
          </rPr>
          <t xml:space="preserve">halve verdiepingshoogte
</t>
        </r>
      </text>
    </comment>
  </commentList>
</comments>
</file>

<file path=xl/sharedStrings.xml><?xml version="1.0" encoding="utf-8"?>
<sst xmlns="http://schemas.openxmlformats.org/spreadsheetml/2006/main" count="379" uniqueCount="213">
  <si>
    <t>Location</t>
  </si>
  <si>
    <t>Tendering</t>
  </si>
  <si>
    <t>Summary Takeoff</t>
  </si>
  <si>
    <t>Plot Area</t>
  </si>
  <si>
    <t>m²</t>
  </si>
  <si>
    <t>Building Footprint</t>
  </si>
  <si>
    <t>External Area</t>
  </si>
  <si>
    <t>External Area - public area</t>
  </si>
  <si>
    <t>External Area - communal area</t>
  </si>
  <si>
    <t>External Area - private area</t>
  </si>
  <si>
    <t>External Area - wasteland</t>
  </si>
  <si>
    <t>Level Area</t>
  </si>
  <si>
    <t>Non-functional Level Area</t>
  </si>
  <si>
    <t>Ratio's</t>
  </si>
  <si>
    <t>Reference Date:</t>
  </si>
  <si>
    <t>Price</t>
  </si>
  <si>
    <t>Description</t>
  </si>
  <si>
    <t>Additional</t>
  </si>
  <si>
    <t>Unit</t>
  </si>
  <si>
    <t>KKG (ref date)</t>
  </si>
  <si>
    <t>B INITIËLE BOUWKOSTEN</t>
  </si>
  <si>
    <t>B1 Bouwkundige werken</t>
  </si>
  <si>
    <t>B1A Fundering</t>
  </si>
  <si>
    <t>B1B Skelet</t>
  </si>
  <si>
    <t>m² gross floor area type A</t>
  </si>
  <si>
    <t>B1C Dakafbouw/dakafwerking</t>
  </si>
  <si>
    <t>m² roof area (according to slope, no projection)</t>
  </si>
  <si>
    <t>B1D Gevelafbouw/gevelafwerking</t>
  </si>
  <si>
    <t>m² facade (according to slope, no projection)</t>
  </si>
  <si>
    <t>B1F2 Vloeren buiten</t>
  </si>
  <si>
    <t>m² gross floor area type B+C</t>
  </si>
  <si>
    <t>B1G1 Trappen en hellingbanen binnen</t>
  </si>
  <si>
    <t>pce,[S] (1 storey = 1 piece)</t>
  </si>
  <si>
    <t>B1G2 Trappen en hellingbanen buiten</t>
  </si>
  <si>
    <t>B1H1 Plafonds binnen</t>
  </si>
  <si>
    <t>B1H2 Plafonds buiten</t>
  </si>
  <si>
    <t>B2H Meet-en regelinstallaties en gebouwbeheersysteem</t>
  </si>
  <si>
    <t>pce</t>
  </si>
  <si>
    <t>B4 Terrein</t>
  </si>
  <si>
    <t>m² external area</t>
  </si>
  <si>
    <t>related m² gross floor area</t>
  </si>
  <si>
    <t>related m² surface</t>
  </si>
  <si>
    <t>B4E Terreininrichting</t>
  </si>
  <si>
    <t>B5 Algemene uitvoeringskosten</t>
  </si>
  <si>
    <t>B1F1 Vloer afbouw/vloerafwerking binnen</t>
  </si>
  <si>
    <t>B COUTS INITIAUX DE CONSTRUCTION</t>
  </si>
  <si>
    <t>B1 Travaux architecturaux</t>
  </si>
  <si>
    <t>B1A Fondation</t>
  </si>
  <si>
    <t>B1B Squelette</t>
  </si>
  <si>
    <t>B1C Toiture : construction non-portante / finition</t>
  </si>
  <si>
    <t>B1D Façade : construction non-portante / finition</t>
  </si>
  <si>
    <t>B1E Cloison intérieure : construction non-portante / finition</t>
  </si>
  <si>
    <t>B1F1 Sol intérieur : construction non-portante / finition</t>
  </si>
  <si>
    <t>B1F2 Sols extérieurs</t>
  </si>
  <si>
    <t>B1G1 Escaliers et rampes d'accès intérieures</t>
  </si>
  <si>
    <t>B1G2 Escaliers et rampes d'accès extérieures</t>
  </si>
  <si>
    <t>B1H1 Plafonds intérieurs</t>
  </si>
  <si>
    <t>B1H2 Plafonds extérieurs</t>
  </si>
  <si>
    <t>B2 Installations</t>
  </si>
  <si>
    <t>B2A1 Installations techniques fluides: installations pour liquides et gaz - standard</t>
  </si>
  <si>
    <t>B2B1 Installations techniques fluides: installations de climatisation - standard</t>
  </si>
  <si>
    <t>B2C1 Installations techniques fluides: installations de lutte contre l'incendie - standard</t>
  </si>
  <si>
    <t>B2D1 Installations électriques : équipements centraux - standard</t>
  </si>
  <si>
    <t>B2E1 Installations électriques : équipements de fourniture d'énergie, raccordements utilisateurs et éclairage - standard</t>
  </si>
  <si>
    <t>B2F1 Installations électriques : communication et sécurité - standard</t>
  </si>
  <si>
    <t>B2G1 Transport - standard</t>
  </si>
  <si>
    <t>B2H Installation de mesure et de contrôle et système de gestion du bâtiment</t>
  </si>
  <si>
    <t>B3 Aménagements et équipements fixes</t>
  </si>
  <si>
    <t>B3(71) Equipements fixes de circulation</t>
  </si>
  <si>
    <t>B3(72) Equipements fixes d'utilisateurs</t>
  </si>
  <si>
    <t>B3(73) Equipements fixes de cuisine</t>
  </si>
  <si>
    <t>B3(74) Equipements fixes sanitaires</t>
  </si>
  <si>
    <t>B3(75) Equipements fixes d'entretien</t>
  </si>
  <si>
    <t>B3(76) Equipements fixes de stockage</t>
  </si>
  <si>
    <t>B4 Terrain</t>
  </si>
  <si>
    <t>B4A Aménagements du sol</t>
  </si>
  <si>
    <t>B4B Superficies (petits bâtiments, auvents etc.)</t>
  </si>
  <si>
    <t>B4C Clôture et finition</t>
  </si>
  <si>
    <t>B4D Installations pour le terrain</t>
  </si>
  <si>
    <t>B4E Aménagements du terrain</t>
  </si>
  <si>
    <t>B5 Frais généraux de construction</t>
  </si>
  <si>
    <t>Type</t>
  </si>
  <si>
    <t>m² foundation footprint</t>
  </si>
  <si>
    <t>A GRONDKOSTEN</t>
  </si>
  <si>
    <t>A1 Inbreng grond (inclusief bestaande opstallen)</t>
  </si>
  <si>
    <t>A2 Sloopwerken - milieukosten</t>
  </si>
  <si>
    <t>A3 Infrastructurele voorzieningen</t>
  </si>
  <si>
    <t>Quantity</t>
  </si>
  <si>
    <t>C INITIËLE INRICHTINGSKOSTEN</t>
  </si>
  <si>
    <t>C1 Bedrijfsinstallaties</t>
  </si>
  <si>
    <t>supplement t.o.v. B</t>
  </si>
  <si>
    <t>C2 Losse inrichtingen</t>
  </si>
  <si>
    <t>Project</t>
  </si>
  <si>
    <t>m² plot area</t>
  </si>
  <si>
    <t>m² level area type A+B+C</t>
  </si>
  <si>
    <t>supplement t.o.v. A1</t>
  </si>
  <si>
    <t>m² external area - public</t>
  </si>
  <si>
    <t>€ B1 + B2 + B3 + B4 / % t.o.v. B1 t.e.m. B4</t>
  </si>
  <si>
    <t xml:space="preserve"> </t>
  </si>
  <si>
    <t>m² gross floor area type B</t>
  </si>
  <si>
    <t>m² external area communal &amp; private</t>
  </si>
  <si>
    <t>% t.o.v. B1 t.e.m. B4</t>
  </si>
  <si>
    <t>m² related gross floor area type B+C</t>
  </si>
  <si>
    <t>Gross Floor Area type A</t>
  </si>
  <si>
    <t>Gross Floor Area type B</t>
  </si>
  <si>
    <t>Gross Floor Area type C</t>
  </si>
  <si>
    <t xml:space="preserve">   Net Room Area type A</t>
  </si>
  <si>
    <t xml:space="preserve">      Net Room Area type A - technical area</t>
  </si>
  <si>
    <t xml:space="preserve">      Net Room Area type A - circulation area</t>
  </si>
  <si>
    <t xml:space="preserve">      Net Room Area type A - amenity area</t>
  </si>
  <si>
    <t xml:space="preserve">      Net Room Area type A - primary area</t>
  </si>
  <si>
    <t xml:space="preserve">      Net Room Area type A - unknown</t>
  </si>
  <si>
    <t xml:space="preserve">   Net Floor Area type B</t>
  </si>
  <si>
    <t xml:space="preserve">   Net Floor Area type C</t>
  </si>
  <si>
    <t xml:space="preserve"> Level Area  / Plot Area</t>
  </si>
  <si>
    <t>m² level area</t>
  </si>
  <si>
    <t>Facade</t>
  </si>
  <si>
    <t>Roof</t>
  </si>
  <si>
    <t>Gross Floor Area type A / Plot Area</t>
  </si>
  <si>
    <t>Facade / GFA,A</t>
  </si>
  <si>
    <t>Roof / GFA,A</t>
  </si>
  <si>
    <t>classic bid</t>
  </si>
  <si>
    <t>[E]#T - [S]#2</t>
  </si>
  <si>
    <t>GFA,A is deels schuine vloerplaat</t>
  </si>
  <si>
    <t>en deels horizontaal</t>
  </si>
  <si>
    <t>[S]#00</t>
  </si>
  <si>
    <t>[S]#01</t>
  </si>
  <si>
    <t>[S]#02</t>
  </si>
  <si>
    <t>[S]#03</t>
  </si>
  <si>
    <t>[S]#04</t>
  </si>
  <si>
    <t>[S]#05</t>
  </si>
  <si>
    <t>contour [m]</t>
  </si>
  <si>
    <t>hoogte [m]</t>
  </si>
  <si>
    <t>opp [m²]</t>
  </si>
  <si>
    <t>1 ondergrondse bouwlaag - secanspalenwand - waterdichte kuip - dakplaat incl. helling en dichting onder de grond voor ca. 40% van de foundation footprint - liftput</t>
  </si>
  <si>
    <t>isolatie PIR 250mm - 100% bitumeuze dakdichting - 2 rookkoepels - ankerpunten</t>
  </si>
  <si>
    <t>kantoorgebouw met auditorium - niet-dragende wanden: vnl. geïsoleerde gipskartonwanden - BIS (stalen omlijsting en houten deurbladen) - geïsoleerde voorzetwanden in metalstud, faïence in sanitair, schilderwerk, plinten</t>
  </si>
  <si>
    <t>kantoorgebouw met auditorium - verlaagd plafond in (akoestisch) gipskarton - akoestische plafondeilanden - schilderwerk</t>
  </si>
  <si>
    <t>kantoorgebouw met auditorium - vloermat, trapmarkeringen</t>
  </si>
  <si>
    <t>kantoorgebouw met auditorium - balie aan ontvangst en bibliotheek - 136 auditoriumzetels met klaptafel - spreekgestoelte met tafel</t>
  </si>
  <si>
    <t>kantoorgebouw met auditorium</t>
  </si>
  <si>
    <t>kantoorgebouw met auditorium - 2 vuilniskasten met fotowand</t>
  </si>
  <si>
    <t>kantoorgebouw met auditorium - kasten</t>
  </si>
  <si>
    <t>logistic challenging</t>
  </si>
  <si>
    <t>[E]#T Toren</t>
  </si>
  <si>
    <t>new</t>
  </si>
  <si>
    <t>Foundation Footprint</t>
  </si>
  <si>
    <t>1 ondergrondse en 6 bovengrondse bouwlagen - tpg betonwanden (ca. 80% zichtbeton) en occasionele kolommen - predallen met opstort, schuine vloerplaat op bekisting (ca. 7% van de GFA,A)</t>
  </si>
  <si>
    <t>bekleding in natuursteen, vliesgevel, architectonisch beton en vertikale grasbetontegels - 16,18 en 24cm PIR - stalen BUS - geautomatiseerde buitenzonnewering (screens)</t>
  </si>
  <si>
    <t>kantoorgebouw met auditorium - uitvullaag vnl gespoten PUR 3/4/12cm, akoestische mat, zwevende dekvloer, vnl. tegelvloeren in marmermozaïek (42%), gepolierde betonvloer (50%) en tapijt op verhoogde vloerconstructie bovenop schuine vloerplaat (ca. 7%)</t>
  </si>
  <si>
    <t>1 circulatiekern over 6 bouwlagen en 2 aparte trapsleden bestaande uit prefabbetonsleden en bordessen met hout/stalen handgrepen en stalen leuningen</t>
  </si>
  <si>
    <t>B2 Technische installaties</t>
  </si>
  <si>
    <t>koffiecorner / 2 kitchenettes / keuken</t>
  </si>
  <si>
    <t>B2A Technieken fluïda: vloeistof- en gasinstallaties</t>
  </si>
  <si>
    <t>B2B Technieken fluïda: klimaatinstallaties</t>
  </si>
  <si>
    <t>B2C Technieken fluïda: brandbestrijding</t>
  </si>
  <si>
    <t>B2D Technieken elektro: centrale voorzieningen</t>
  </si>
  <si>
    <t>B2E Technieken elektro: energievoorziening gebruikersaansluitingen en verlichting</t>
  </si>
  <si>
    <t>B2F Technieken elektro: communicatie en beveiliging</t>
  </si>
  <si>
    <t>B2G Transport</t>
  </si>
  <si>
    <t>[Z]#N nieuwbouw</t>
  </si>
  <si>
    <t>[Z]#R renovation</t>
  </si>
  <si>
    <t>[S]#91 kelder</t>
  </si>
  <si>
    <t>[S]#00 gelijkvloers</t>
  </si>
  <si>
    <t>[E]#T toren</t>
  </si>
  <si>
    <t>[E]#K kantoor</t>
  </si>
  <si>
    <t>[E]#B bestuursgebouw</t>
  </si>
  <si>
    <t xml:space="preserve">[S]#01 verdieping +1 </t>
  </si>
  <si>
    <t>[S]#02 verdieping +2</t>
  </si>
  <si>
    <t>[S]#03 verdieping +3</t>
  </si>
  <si>
    <t xml:space="preserve">[S]#04 verdieping +4 </t>
  </si>
  <si>
    <t xml:space="preserve">[S]#05 verdieping +5 </t>
  </si>
  <si>
    <t>% t.o.v. GFA,A</t>
  </si>
  <si>
    <t>B3 Vaste inrichtingen</t>
  </si>
  <si>
    <t>ratio facade/GFA,A</t>
  </si>
  <si>
    <t>ratio roof/GFA,A</t>
  </si>
  <si>
    <t>[C] complex</t>
  </si>
  <si>
    <t>dakterras - half gepolierde beton (50%), marmermozaïek op 20cm PIR in afschot (50%) - OPGELET: dakdichting werd niet aangerekend</t>
  </si>
  <si>
    <t>[E]#K Kantoor</t>
  </si>
  <si>
    <t>[E]#B Bestuursgebouw</t>
  </si>
  <si>
    <t>[C] Complex</t>
  </si>
  <si>
    <t>LA [m²]</t>
  </si>
  <si>
    <t>GFA,A [m²]</t>
  </si>
  <si>
    <t>NLA [m²]</t>
  </si>
  <si>
    <t>GFA,B+C [m²]</t>
  </si>
  <si>
    <t>Facade [m²]</t>
  </si>
  <si>
    <t>Roof [m²]</t>
  </si>
  <si>
    <t>[Z]#N Nieuwbouw</t>
  </si>
  <si>
    <t>[Z]#R Renovation</t>
  </si>
  <si>
    <t>cfr [E]#K Kantoor</t>
  </si>
  <si>
    <t>B1E Binnenwandafbouw/binnenafwerking wanden</t>
  </si>
  <si>
    <t>B3(71) Vaste verkeersinrichtingen</t>
  </si>
  <si>
    <t>B3(72) Vaste gebruikersinrichtingen</t>
  </si>
  <si>
    <t>B3(73) Vaste keukeninrichtingen</t>
  </si>
  <si>
    <t>B3(75) Vaste onderhoudsinrichtingen</t>
  </si>
  <si>
    <t>B3(76) Vaste opslaginrichtingen</t>
  </si>
  <si>
    <t>B3(74) Vaste sanitaire inrichtingen</t>
  </si>
  <si>
    <t>B4A Terrein grondvoorzieningen</t>
  </si>
  <si>
    <t>B4B Terrein opstallen (gebouwtjes, overkappingen enz.)</t>
  </si>
  <si>
    <t>B4C Terrein omheining en afwerking</t>
  </si>
  <si>
    <t>B4D Technische installaties voor het terrein</t>
  </si>
  <si>
    <t>verhouding B2 t.o.v. B1</t>
  </si>
  <si>
    <t>B5 Algemene uitvoeringskost (AUK)</t>
  </si>
  <si>
    <t>B1 t.e.m. B4</t>
  </si>
  <si>
    <t>B5</t>
  </si>
  <si>
    <t>% B5 t.o.v. B1 t.e.m. B4</t>
  </si>
  <si>
    <t>Hoogtepeil</t>
  </si>
  <si>
    <t>[S]#06</t>
  </si>
  <si>
    <t>- onderzijde passerelle: 12 cm pur/pir isolatie en alu bekleding
- plafond boven inkomhelling en plafond boven terras +5: 20 cm pur/pir isolatie, pleisterplaat, bepleistering en schilderwerk</t>
  </si>
  <si>
    <t>€ /m² LA [E]</t>
  </si>
  <si>
    <t>€ /m² LA [Z]</t>
  </si>
  <si>
    <t>LA [m²] [Z]#N Nieuwbouw</t>
  </si>
  <si>
    <t>LA [m²] [Z]#R Renovatie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</si>
</sst>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* #,##0.00_-;\-* #,##0.00_-;_-* &quot;-&quot;??_-;_-@_-"/>
    <numFmt numFmtId="165" formatCode="_ [$€-813]\ * #,##0_ ;_ [$€-813]\ * \-#,##0_ ;_ [$€-813]\ * &quot;-&quot;??_ ;_ @_ "/>
    <numFmt numFmtId="166" formatCode="_-* #,##0_-;\-* #,##0_-;_-* &quot;-&quot;??_-;_-@_-"/>
    <numFmt numFmtId="167" formatCode="0.0%"/>
    <numFmt numFmtId="168" formatCode="_ * #,##0.0_ ;_ * \-#,##0.0_ ;_ * &quot;-&quot;??_ ;_ @_ "/>
    <numFmt numFmtId="169" formatCode="_ * #,##0_ ;_ * \-#,##0_ ;_ * &quot;-&quot;??_ ;_ @_ "/>
    <numFmt numFmtId="170" formatCode="_ [$€-813]\ * #,##0.0_ ;_ [$€-813]\ * \-#,##0.0_ ;_ [$€-813]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FFFF"/>
      <name val="Verdana"/>
      <family val="2"/>
    </font>
    <font>
      <b/>
      <sz val="11"/>
      <color rgb="FF000080"/>
      <name val="Verdana"/>
      <family val="2"/>
    </font>
    <font>
      <sz val="11"/>
      <color rgb="FF000080"/>
      <name val="Verdana"/>
      <family val="2"/>
    </font>
    <font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rgb="FF3F3F76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Verdan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3F3F76"/>
      <name val="Calibri"/>
      <family val="2"/>
      <scheme val="minor"/>
    </font>
    <font>
      <i/>
      <sz val="9"/>
      <color indexed="81"/>
      <name val="Tahoma"/>
      <family val="2"/>
    </font>
    <font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00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</cellStyleXfs>
  <cellXfs count="89">
    <xf numFmtId="0" fontId="0" fillId="0" borderId="0" xfId="0"/>
    <xf numFmtId="0" fontId="4" fillId="4" borderId="0" xfId="0" applyFont="1" applyFill="1" applyAlignment="1">
      <alignment horizontal="center" vertical="top" wrapText="1"/>
    </xf>
    <xf numFmtId="0" fontId="8" fillId="0" borderId="0" xfId="0" applyFont="1" applyAlignment="1">
      <alignment horizontal="right"/>
    </xf>
    <xf numFmtId="166" fontId="9" fillId="2" borderId="1" xfId="4" applyNumberFormat="1" applyFont="1" applyFill="1" applyBorder="1"/>
    <xf numFmtId="0" fontId="4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8" fillId="0" borderId="0" xfId="0" applyFont="1"/>
    <xf numFmtId="0" fontId="4" fillId="4" borderId="0" xfId="0" applyFont="1" applyFill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166" fontId="9" fillId="2" borderId="4" xfId="4" applyNumberFormat="1" applyFont="1" applyFill="1" applyBorder="1"/>
    <xf numFmtId="165" fontId="10" fillId="3" borderId="8" xfId="3" applyNumberFormat="1" applyFont="1" applyBorder="1" applyAlignment="1">
      <alignment vertical="top" wrapText="1"/>
    </xf>
    <xf numFmtId="49" fontId="9" fillId="2" borderId="7" xfId="2" applyNumberFormat="1" applyFont="1" applyBorder="1" applyAlignment="1">
      <alignment vertical="top" wrapText="1"/>
    </xf>
    <xf numFmtId="165" fontId="9" fillId="2" borderId="1" xfId="2" applyNumberFormat="1" applyFont="1"/>
    <xf numFmtId="165" fontId="10" fillId="3" borderId="4" xfId="3" applyNumberFormat="1" applyFont="1" applyBorder="1"/>
    <xf numFmtId="49" fontId="9" fillId="2" borderId="5" xfId="2" applyNumberFormat="1" applyFont="1" applyBorder="1" applyAlignment="1">
      <alignment vertical="top" wrapText="1"/>
    </xf>
    <xf numFmtId="165" fontId="10" fillId="3" borderId="1" xfId="3" applyNumberFormat="1" applyFont="1"/>
    <xf numFmtId="49" fontId="9" fillId="2" borderId="6" xfId="2" applyNumberFormat="1" applyFont="1" applyBorder="1" applyAlignment="1">
      <alignment vertical="top" wrapText="1"/>
    </xf>
    <xf numFmtId="167" fontId="10" fillId="3" borderId="1" xfId="1" applyNumberFormat="1" applyFont="1" applyFill="1" applyBorder="1" applyAlignment="1">
      <alignment vertical="top" wrapText="1"/>
    </xf>
    <xf numFmtId="14" fontId="2" fillId="2" borderId="9" xfId="2" applyNumberFormat="1" applyBorder="1"/>
    <xf numFmtId="0" fontId="13" fillId="2" borderId="10" xfId="6" applyNumberFormat="1" applyFont="1" applyFill="1"/>
    <xf numFmtId="166" fontId="11" fillId="2" borderId="10" xfId="6" applyNumberFormat="1" applyFill="1"/>
    <xf numFmtId="166" fontId="11" fillId="5" borderId="10" xfId="6" applyNumberFormat="1" applyFill="1" applyAlignment="1">
      <alignment vertical="top" wrapText="1"/>
    </xf>
    <xf numFmtId="169" fontId="11" fillId="4" borderId="10" xfId="6" applyNumberFormat="1" applyFill="1" applyAlignment="1">
      <alignment horizontal="center" vertical="top" wrapText="1"/>
    </xf>
    <xf numFmtId="169" fontId="11" fillId="5" borderId="10" xfId="6" applyNumberFormat="1" applyFill="1" applyAlignment="1">
      <alignment vertical="top" wrapText="1"/>
    </xf>
    <xf numFmtId="167" fontId="5" fillId="5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9" fillId="2" borderId="9" xfId="2" applyNumberFormat="1" applyFont="1" applyBorder="1" applyAlignment="1">
      <alignment vertical="top"/>
    </xf>
    <xf numFmtId="0" fontId="0" fillId="0" borderId="0" xfId="0" applyAlignment="1">
      <alignment vertical="top"/>
    </xf>
    <xf numFmtId="49" fontId="9" fillId="2" borderId="9" xfId="2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66" fontId="9" fillId="2" borderId="1" xfId="4" applyNumberFormat="1" applyFont="1" applyFill="1" applyBorder="1" applyAlignment="1">
      <alignment vertical="top"/>
    </xf>
    <xf numFmtId="0" fontId="12" fillId="7" borderId="11" xfId="7" applyAlignment="1">
      <alignment horizontal="center" vertical="top"/>
    </xf>
    <xf numFmtId="167" fontId="10" fillId="3" borderId="1" xfId="3" applyNumberFormat="1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168" fontId="10" fillId="3" borderId="1" xfId="5" applyNumberFormat="1" applyFont="1" applyFill="1" applyBorder="1" applyAlignment="1">
      <alignment vertical="top"/>
    </xf>
    <xf numFmtId="0" fontId="13" fillId="2" borderId="10" xfId="6" applyNumberFormat="1" applyFont="1" applyFill="1" applyAlignment="1">
      <alignment vertical="top"/>
    </xf>
    <xf numFmtId="165" fontId="10" fillId="3" borderId="4" xfId="3" applyNumberFormat="1" applyFont="1" applyBorder="1" applyAlignment="1">
      <alignment vertical="top"/>
    </xf>
    <xf numFmtId="165" fontId="9" fillId="2" borderId="1" xfId="2" applyNumberFormat="1" applyFont="1" applyAlignment="1">
      <alignment vertical="top"/>
    </xf>
    <xf numFmtId="166" fontId="9" fillId="2" borderId="4" xfId="4" applyNumberFormat="1" applyFont="1" applyFill="1" applyBorder="1" applyAlignment="1">
      <alignment vertical="top"/>
    </xf>
    <xf numFmtId="166" fontId="10" fillId="3" borderId="1" xfId="3" applyNumberFormat="1" applyFont="1" applyAlignment="1">
      <alignment vertical="top"/>
    </xf>
    <xf numFmtId="169" fontId="13" fillId="4" borderId="10" xfId="6" applyNumberFormat="1" applyFont="1" applyFill="1" applyAlignment="1">
      <alignment horizontal="center" vertical="top" wrapText="1"/>
    </xf>
    <xf numFmtId="166" fontId="13" fillId="5" borderId="10" xfId="6" applyNumberFormat="1" applyFont="1" applyFill="1" applyAlignment="1">
      <alignment vertical="top" wrapText="1"/>
    </xf>
    <xf numFmtId="169" fontId="13" fillId="5" borderId="10" xfId="6" applyNumberFormat="1" applyFont="1" applyFill="1" applyAlignment="1">
      <alignment vertical="top" wrapText="1"/>
    </xf>
    <xf numFmtId="166" fontId="13" fillId="2" borderId="10" xfId="6" applyNumberFormat="1" applyFont="1" applyFill="1" applyAlignment="1">
      <alignment vertical="top"/>
    </xf>
    <xf numFmtId="0" fontId="3" fillId="3" borderId="1" xfId="3"/>
    <xf numFmtId="0" fontId="2" fillId="2" borderId="1" xfId="2"/>
    <xf numFmtId="43" fontId="3" fillId="3" borderId="1" xfId="5" applyFont="1" applyFill="1" applyBorder="1"/>
    <xf numFmtId="43" fontId="0" fillId="0" borderId="0" xfId="5" applyFont="1"/>
    <xf numFmtId="43" fontId="2" fillId="2" borderId="1" xfId="5" applyFont="1" applyFill="1" applyBorder="1"/>
    <xf numFmtId="170" fontId="10" fillId="3" borderId="4" xfId="3" applyNumberFormat="1" applyFont="1" applyBorder="1" applyAlignment="1">
      <alignment vertical="top"/>
    </xf>
    <xf numFmtId="17" fontId="9" fillId="2" borderId="9" xfId="2" applyNumberFormat="1" applyFont="1" applyBorder="1" applyAlignment="1">
      <alignment vertical="top"/>
    </xf>
    <xf numFmtId="0" fontId="18" fillId="0" borderId="0" xfId="0" applyFont="1"/>
    <xf numFmtId="169" fontId="0" fillId="0" borderId="0" xfId="5" applyNumberFormat="1" applyFont="1"/>
    <xf numFmtId="169" fontId="2" fillId="2" borderId="1" xfId="2" applyNumberFormat="1"/>
    <xf numFmtId="169" fontId="3" fillId="3" borderId="1" xfId="5" applyNumberFormat="1" applyFont="1" applyFill="1" applyBorder="1"/>
    <xf numFmtId="0" fontId="17" fillId="0" borderId="0" xfId="0" applyFont="1"/>
    <xf numFmtId="169" fontId="19" fillId="2" borderId="1" xfId="2" applyNumberFormat="1" applyFont="1"/>
    <xf numFmtId="169" fontId="3" fillId="3" borderId="4" xfId="5" applyNumberFormat="1" applyFont="1" applyFill="1" applyBorder="1"/>
    <xf numFmtId="169" fontId="3" fillId="3" borderId="9" xfId="5" applyNumberFormat="1" applyFont="1" applyFill="1" applyBorder="1"/>
    <xf numFmtId="169" fontId="11" fillId="2" borderId="10" xfId="6" applyNumberFormat="1" applyFill="1"/>
    <xf numFmtId="43" fontId="10" fillId="3" borderId="1" xfId="5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167" fontId="23" fillId="3" borderId="1" xfId="1" applyNumberFormat="1" applyFont="1" applyFill="1" applyBorder="1" applyAlignment="1">
      <alignment vertical="top"/>
    </xf>
    <xf numFmtId="169" fontId="22" fillId="0" borderId="0" xfId="0" applyNumberFormat="1" applyFont="1" applyAlignment="1">
      <alignment vertical="top"/>
    </xf>
    <xf numFmtId="43" fontId="23" fillId="3" borderId="1" xfId="5" applyFont="1" applyFill="1" applyBorder="1" applyAlignment="1">
      <alignment vertical="top"/>
    </xf>
    <xf numFmtId="0" fontId="17" fillId="0" borderId="0" xfId="0" applyFont="1" applyAlignment="1">
      <alignment horizontal="center"/>
    </xf>
    <xf numFmtId="169" fontId="11" fillId="0" borderId="10" xfId="6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vertical="top"/>
    </xf>
    <xf numFmtId="165" fontId="3" fillId="3" borderId="1" xfId="3" applyNumberFormat="1" applyAlignment="1">
      <alignment vertical="top"/>
    </xf>
    <xf numFmtId="166" fontId="2" fillId="2" borderId="1" xfId="2" applyNumberFormat="1" applyAlignment="1">
      <alignment vertical="top"/>
    </xf>
    <xf numFmtId="165" fontId="2" fillId="2" borderId="1" xfId="2" applyNumberFormat="1" applyAlignment="1">
      <alignment vertical="top"/>
    </xf>
    <xf numFmtId="165" fontId="3" fillId="3" borderId="1" xfId="3" applyNumberFormat="1"/>
    <xf numFmtId="165" fontId="0" fillId="0" borderId="0" xfId="0" applyNumberFormat="1"/>
    <xf numFmtId="165" fontId="11" fillId="0" borderId="10" xfId="6" applyNumberFormat="1"/>
    <xf numFmtId="9" fontId="3" fillId="3" borderId="1" xfId="3" applyNumberFormat="1"/>
    <xf numFmtId="165" fontId="2" fillId="2" borderId="1" xfId="2" applyNumberFormat="1"/>
    <xf numFmtId="167" fontId="3" fillId="3" borderId="1" xfId="1" applyNumberFormat="1" applyFont="1" applyFill="1" applyBorder="1"/>
    <xf numFmtId="169" fontId="3" fillId="3" borderId="1" xfId="3" applyNumberFormat="1"/>
    <xf numFmtId="0" fontId="5" fillId="5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</cellXfs>
  <cellStyles count="8">
    <cellStyle name="Berekening" xfId="3" builtinId="22"/>
    <cellStyle name="Controlecel" xfId="7" builtinId="23"/>
    <cellStyle name="Gekoppelde cel" xfId="6" builtinId="24"/>
    <cellStyle name="Invoer" xfId="2" builtinId="20"/>
    <cellStyle name="Komma" xfId="5" builtinId="3"/>
    <cellStyle name="Komma 2" xfId="4" xr:uid="{19AB6A9C-3BA5-4A77-A574-1A2775D0205C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3</xdr:row>
      <xdr:rowOff>167640</xdr:rowOff>
    </xdr:from>
    <xdr:to>
      <xdr:col>7</xdr:col>
      <xdr:colOff>35207</xdr:colOff>
      <xdr:row>22</xdr:row>
      <xdr:rowOff>95648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A7ACFB-88B3-C446-BCCC-11504101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1" y="731520"/>
          <a:ext cx="5460646" cy="3406538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4</xdr:row>
      <xdr:rowOff>32286</xdr:rowOff>
    </xdr:from>
    <xdr:to>
      <xdr:col>15</xdr:col>
      <xdr:colOff>267450</xdr:colOff>
      <xdr:row>22</xdr:row>
      <xdr:rowOff>418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94F1358-E708-C1DB-667C-C40016F81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740" y="779046"/>
          <a:ext cx="5845290" cy="325997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24</xdr:col>
      <xdr:colOff>286197</xdr:colOff>
      <xdr:row>31</xdr:row>
      <xdr:rowOff>428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1D984F4-0C57-3270-38C1-E00647D2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12880" y="746760"/>
          <a:ext cx="5159187" cy="4938188"/>
        </a:xfrm>
        <a:prstGeom prst="rect">
          <a:avLst/>
        </a:prstGeom>
      </xdr:spPr>
    </xdr:pic>
    <xdr:clientData/>
  </xdr:twoCellAnchor>
  <xdr:twoCellAnchor>
    <xdr:from>
      <xdr:col>1</xdr:col>
      <xdr:colOff>1828800</xdr:colOff>
      <xdr:row>10</xdr:row>
      <xdr:rowOff>47625</xdr:rowOff>
    </xdr:from>
    <xdr:to>
      <xdr:col>18</xdr:col>
      <xdr:colOff>95250</xdr:colOff>
      <xdr:row>14</xdr:row>
      <xdr:rowOff>114300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070C7535-7817-F70B-6CE8-1BD6C898B048}"/>
            </a:ext>
          </a:extLst>
        </xdr:cNvPr>
        <xdr:cNvCxnSpPr/>
      </xdr:nvCxnSpPr>
      <xdr:spPr>
        <a:xfrm flipH="1">
          <a:off x="2733675" y="1876425"/>
          <a:ext cx="10572750" cy="7905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182880</xdr:colOff>
      <xdr:row>2</xdr:row>
      <xdr:rowOff>137160</xdr:rowOff>
    </xdr:from>
    <xdr:to>
      <xdr:col>22</xdr:col>
      <xdr:colOff>160020</xdr:colOff>
      <xdr:row>8</xdr:row>
      <xdr:rowOff>60960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A6AA17FE-D1B9-C322-67B9-FA68708D5D53}"/>
            </a:ext>
          </a:extLst>
        </xdr:cNvPr>
        <xdr:cNvCxnSpPr/>
      </xdr:nvCxnSpPr>
      <xdr:spPr>
        <a:xfrm>
          <a:off x="7528560" y="518160"/>
          <a:ext cx="7901940" cy="102108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bcalcenconsult-my.sharepoint.com/personal/pbo_pbcalcenconsult_be/Documents/PB%20calc%20&amp;%20consult/5_klanten_projecten/100063_Agentschap%20Facilitair%20Bedrijf/04-projecten/Whitepaper%20I%203de%20editie%20-%20bijlage%20A2%20-%20casestudy%20kantoor.xlsx" TargetMode="External"/><Relationship Id="rId2" Type="http://schemas.microsoft.com/office/2019/04/relationships/externalLinkLongPath" Target="Whitepaper%20I%203de%20editie%20-%20bijlage%20A2%20-%20casestudy%20kantoor.xlsx?F821A73F" TargetMode="External"/><Relationship Id="rId1" Type="http://schemas.openxmlformats.org/officeDocument/2006/relationships/externalLinkPath" Target="file:///\\F821A73F\Whitepaper%20I%203de%20editie%20-%20bijlage%20A2%20-%20casestudy%20kantoor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bcalcenconsult-my.sharepoint.com/personal/pbo_pbcalcenconsult_be/Documents/PB%20calc%20&amp;%20consult/5_klanten_projecten/100063_Agentschap%20Facilitair%20Bedrijf/04-projecten/Whitepaper%20-%20bijlage%20A3%20-%20casestudy%20bestuursgebouw%20-%203de%20editie.xlsx" TargetMode="External"/><Relationship Id="rId2" Type="http://schemas.microsoft.com/office/2019/04/relationships/externalLinkLongPath" Target="Whitepaper%20-%20bijlage%20A3%20-%20casestudy%20bestuursgebouw%20-%203de%20editie.xlsx?F821A73F" TargetMode="External"/><Relationship Id="rId1" Type="http://schemas.openxmlformats.org/officeDocument/2006/relationships/externalLinkPath" Target="file:///\\F821A73F\Whitepaper%20-%20bijlage%20A3%20-%20casestudy%20bestuursgebouw%20-%203de%20editie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bcalcenconsult-my.sharepoint.com/personal/pbo_pbcalcenconsult_be/Documents/PB%20calc%20&amp;%20consult/5_klanten_projecten/100063_Agentschap%20Facilitair%20Bedrijf/04-projecten/Whitepaper%20I%203de%20editie%20-%20bijlage%20A3%20-%20casestudy%20bestuursgebouw.xlsx" TargetMode="External"/><Relationship Id="rId2" Type="http://schemas.microsoft.com/office/2019/04/relationships/externalLinkLongPath" Target="Whitepaper%20I%203de%20editie%20-%20bijlage%20A3%20-%20casestudy%20bestuursgebouw.xlsx?F821A73F" TargetMode="External"/><Relationship Id="rId1" Type="http://schemas.openxmlformats.org/officeDocument/2006/relationships/externalLinkPath" Target="file:///\\F821A73F\Whitepaper%20I%203de%20editie%20-%20bijlage%20A3%20-%20casestudy%20bestuursgebou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sign"/>
      <sheetName val="Cost"/>
      <sheetName val="Cost FR"/>
      <sheetName val="Remarks"/>
    </sheetNames>
    <sheetDataSet>
      <sheetData sheetId="0">
        <row r="16">
          <cell r="B16">
            <v>1101</v>
          </cell>
        </row>
        <row r="31">
          <cell r="B31">
            <v>561.02408000000003</v>
          </cell>
        </row>
        <row r="32">
          <cell r="B32">
            <v>781</v>
          </cell>
        </row>
        <row r="35">
          <cell r="B35">
            <v>684</v>
          </cell>
        </row>
        <row r="50">
          <cell r="B50">
            <v>328.05680000000001</v>
          </cell>
        </row>
      </sheetData>
      <sheetData sheetId="1">
        <row r="13">
          <cell r="C13">
            <v>141162.68</v>
          </cell>
          <cell r="D13">
            <v>-6981.3</v>
          </cell>
        </row>
        <row r="14">
          <cell r="C14">
            <v>274551.62</v>
          </cell>
          <cell r="D14">
            <v>853.71</v>
          </cell>
        </row>
        <row r="15">
          <cell r="C15">
            <v>32211.03</v>
          </cell>
        </row>
        <row r="16">
          <cell r="C16">
            <v>118239.31</v>
          </cell>
          <cell r="D16">
            <v>-45.81</v>
          </cell>
        </row>
        <row r="17">
          <cell r="C17">
            <v>372286.63</v>
          </cell>
          <cell r="D17">
            <v>-4049.24</v>
          </cell>
        </row>
        <row r="18">
          <cell r="C18">
            <v>52459.66</v>
          </cell>
          <cell r="D18">
            <v>8288.32</v>
          </cell>
        </row>
        <row r="19">
          <cell r="C19">
            <v>105118.46</v>
          </cell>
          <cell r="D19">
            <v>1072.68</v>
          </cell>
        </row>
        <row r="20">
          <cell r="C20">
            <v>32511.040000000001</v>
          </cell>
          <cell r="D20">
            <v>2511.3200000000002</v>
          </cell>
        </row>
        <row r="21">
          <cell r="C21">
            <v>99852.91</v>
          </cell>
        </row>
        <row r="22">
          <cell r="C22">
            <v>21182.76</v>
          </cell>
        </row>
        <row r="24">
          <cell r="C24">
            <v>7916.23</v>
          </cell>
          <cell r="D24">
            <v>-1214.43</v>
          </cell>
        </row>
        <row r="25">
          <cell r="C25">
            <v>38356.19</v>
          </cell>
        </row>
        <row r="26">
          <cell r="C26">
            <v>12160.72</v>
          </cell>
          <cell r="D26">
            <v>1834.78</v>
          </cell>
        </row>
        <row r="27">
          <cell r="C27">
            <v>3747.83</v>
          </cell>
        </row>
        <row r="28">
          <cell r="C28">
            <v>49425.56</v>
          </cell>
        </row>
        <row r="29">
          <cell r="C29">
            <v>3531.88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sign"/>
      <sheetName val="Cost"/>
      <sheetName val="Cost FR"/>
      <sheetName val="Remarks"/>
    </sheetNames>
    <sheetDataSet>
      <sheetData sheetId="0">
        <row r="17">
          <cell r="B17">
            <v>1927</v>
          </cell>
        </row>
        <row r="30">
          <cell r="B30">
            <v>1165.9132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sign"/>
      <sheetName val="Cost"/>
      <sheetName val="Cost FR"/>
      <sheetName val="Remarks"/>
    </sheetNames>
    <sheetDataSet>
      <sheetData sheetId="0">
        <row r="31">
          <cell r="B31">
            <v>633</v>
          </cell>
        </row>
      </sheetData>
      <sheetData sheetId="1">
        <row r="11">
          <cell r="C11">
            <v>663975.16</v>
          </cell>
          <cell r="D11">
            <v>179738.26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3A0A-AEFB-441E-B5E2-936C6B464DE7}">
  <dimension ref="A1:G37"/>
  <sheetViews>
    <sheetView zoomScale="80" zoomScaleNormal="80" workbookViewId="0">
      <pane ySplit="6" topLeftCell="A7" activePane="bottomLeft" state="frozen"/>
      <selection pane="bottomLeft" activeCell="A15" sqref="A15"/>
    </sheetView>
  </sheetViews>
  <sheetFormatPr defaultRowHeight="14.4" outlineLevelRow="1" x14ac:dyDescent="0.3"/>
  <cols>
    <col min="1" max="1" width="72.21875" style="30" bestFit="1" customWidth="1"/>
    <col min="2" max="2" width="47.88671875" style="30" customWidth="1"/>
    <col min="3" max="5" width="15.77734375" style="30" customWidth="1"/>
    <col min="6" max="16384" width="8.88671875" style="30"/>
  </cols>
  <sheetData>
    <row r="1" spans="1:7" ht="15" thickBot="1" x14ac:dyDescent="0.35">
      <c r="A1" s="28" t="s">
        <v>92</v>
      </c>
      <c r="B1" s="29" t="s">
        <v>144</v>
      </c>
    </row>
    <row r="2" spans="1:7" ht="15" thickBot="1" x14ac:dyDescent="0.35">
      <c r="A2" s="28" t="s">
        <v>0</v>
      </c>
      <c r="B2" s="31" t="s">
        <v>143</v>
      </c>
    </row>
    <row r="3" spans="1:7" ht="15" thickBot="1" x14ac:dyDescent="0.35">
      <c r="A3" s="28" t="s">
        <v>1</v>
      </c>
      <c r="B3" s="31" t="s">
        <v>121</v>
      </c>
    </row>
    <row r="4" spans="1:7" ht="15" thickBot="1" x14ac:dyDescent="0.35">
      <c r="A4" s="28" t="s">
        <v>81</v>
      </c>
      <c r="B4" s="31" t="s">
        <v>145</v>
      </c>
    </row>
    <row r="5" spans="1:7" x14ac:dyDescent="0.3">
      <c r="A5" s="28"/>
      <c r="B5" s="28"/>
      <c r="C5" s="28"/>
    </row>
    <row r="6" spans="1:7" ht="15" thickBot="1" x14ac:dyDescent="0.35">
      <c r="A6" s="28"/>
      <c r="B6" s="32" t="s">
        <v>2</v>
      </c>
      <c r="C6" s="28"/>
    </row>
    <row r="7" spans="1:7" ht="15.6" thickTop="1" thickBot="1" x14ac:dyDescent="0.35">
      <c r="A7" s="33" t="s">
        <v>3</v>
      </c>
      <c r="B7" s="34"/>
      <c r="C7" s="33" t="s">
        <v>4</v>
      </c>
      <c r="D7" s="35" t="str">
        <f>IF(SUM(D8:D9)=0,"",IF(SUM(D8:D9)=1,"OK","FOUT!"))</f>
        <v/>
      </c>
    </row>
    <row r="8" spans="1:7" ht="15.6" thickTop="1" thickBot="1" x14ac:dyDescent="0.35">
      <c r="A8" s="33" t="s">
        <v>5</v>
      </c>
      <c r="B8" s="34">
        <v>255.13</v>
      </c>
      <c r="C8" s="33" t="s">
        <v>4</v>
      </c>
      <c r="D8" s="36">
        <f>IF($B$7=0,0,B8/$B$7)</f>
        <v>0</v>
      </c>
    </row>
    <row r="9" spans="1:7" ht="15.6" thickTop="1" thickBot="1" x14ac:dyDescent="0.35">
      <c r="A9" s="33" t="s">
        <v>6</v>
      </c>
      <c r="B9" s="34"/>
      <c r="C9" s="33" t="s">
        <v>4</v>
      </c>
      <c r="D9" s="36">
        <f>IF($B$7=0,0,B9/$B$7)</f>
        <v>0</v>
      </c>
      <c r="E9" s="35" t="str">
        <f>IF(SUM(E10:E13)=0,"",IF(SUM(E10:E13)=1,"OK","FOUT!"))</f>
        <v/>
      </c>
    </row>
    <row r="10" spans="1:7" ht="15" thickTop="1" x14ac:dyDescent="0.3">
      <c r="A10" s="33" t="s">
        <v>7</v>
      </c>
      <c r="B10" s="34"/>
      <c r="C10" s="33" t="s">
        <v>4</v>
      </c>
      <c r="E10" s="36">
        <f>IF($B$9=0,0,B10/$B$9)</f>
        <v>0</v>
      </c>
    </row>
    <row r="11" spans="1:7" x14ac:dyDescent="0.3">
      <c r="A11" s="33" t="s">
        <v>8</v>
      </c>
      <c r="B11" s="34"/>
      <c r="C11" s="33" t="s">
        <v>4</v>
      </c>
      <c r="E11" s="36">
        <f t="shared" ref="E11:E13" si="0">IF($B$9=0,0,B11/$B$9)</f>
        <v>0</v>
      </c>
    </row>
    <row r="12" spans="1:7" x14ac:dyDescent="0.3">
      <c r="A12" s="33" t="s">
        <v>9</v>
      </c>
      <c r="B12" s="34"/>
      <c r="C12" s="33" t="s">
        <v>4</v>
      </c>
      <c r="E12" s="36">
        <f t="shared" si="0"/>
        <v>0</v>
      </c>
    </row>
    <row r="13" spans="1:7" x14ac:dyDescent="0.3">
      <c r="A13" s="33" t="s">
        <v>10</v>
      </c>
      <c r="B13" s="34"/>
      <c r="C13" s="33" t="s">
        <v>4</v>
      </c>
      <c r="E13" s="36">
        <f t="shared" si="0"/>
        <v>0</v>
      </c>
    </row>
    <row r="14" spans="1:7" ht="15" thickBot="1" x14ac:dyDescent="0.35">
      <c r="A14" s="33"/>
      <c r="B14" s="33"/>
      <c r="C14" s="33"/>
      <c r="D14" s="33"/>
      <c r="E14" s="33"/>
      <c r="F14" s="33"/>
      <c r="G14" s="33"/>
    </row>
    <row r="15" spans="1:7" ht="15.6" thickTop="1" thickBot="1" x14ac:dyDescent="0.35">
      <c r="A15" s="33" t="s">
        <v>11</v>
      </c>
      <c r="B15" s="44">
        <f>SUM(B16:B26)</f>
        <v>2008.41</v>
      </c>
      <c r="C15" s="33" t="s">
        <v>4</v>
      </c>
      <c r="D15" s="35" t="str">
        <f>IF(SUM(D16:D26)=0,"",IF(SUM(D16:D26)=1,"OK","FOUT!"))</f>
        <v>OK</v>
      </c>
    </row>
    <row r="16" spans="1:7" ht="15" thickTop="1" x14ac:dyDescent="0.3">
      <c r="A16" s="33" t="s">
        <v>12</v>
      </c>
      <c r="B16" s="34">
        <v>155.99</v>
      </c>
      <c r="C16" s="33" t="s">
        <v>4</v>
      </c>
      <c r="D16" s="36">
        <f>IF($B$15=0,0,B16/$B$15)</f>
        <v>7.7668404359667598E-2</v>
      </c>
    </row>
    <row r="17" spans="1:6" x14ac:dyDescent="0.3">
      <c r="A17" s="33" t="s">
        <v>103</v>
      </c>
      <c r="B17" s="34">
        <f>458+222+242+14+261+112+255+226</f>
        <v>1790</v>
      </c>
      <c r="C17" s="33" t="s">
        <v>4</v>
      </c>
      <c r="D17" s="36">
        <f>IF($B$15=0,0,B17/$B$15)</f>
        <v>0.89125228414516955</v>
      </c>
    </row>
    <row r="18" spans="1:6" ht="15.6" hidden="1" outlineLevel="1" thickTop="1" thickBot="1" x14ac:dyDescent="0.35">
      <c r="A18" s="33" t="s">
        <v>106</v>
      </c>
      <c r="B18" s="34"/>
      <c r="C18" s="33" t="s">
        <v>4</v>
      </c>
      <c r="E18" s="35" t="str">
        <f>IF(SUM(E19:E23)=0,"",IF(SUM(E19:E23)=1,"OK","FOUT!"))</f>
        <v/>
      </c>
    </row>
    <row r="19" spans="1:6" ht="15" hidden="1" outlineLevel="1" thickTop="1" x14ac:dyDescent="0.3">
      <c r="A19" s="33" t="s">
        <v>107</v>
      </c>
      <c r="B19" s="34"/>
      <c r="C19" s="33" t="s">
        <v>4</v>
      </c>
      <c r="E19" s="36">
        <f>IF($B$18=0,0,B19/$B$18)</f>
        <v>0</v>
      </c>
    </row>
    <row r="20" spans="1:6" hidden="1" outlineLevel="1" x14ac:dyDescent="0.3">
      <c r="A20" s="33" t="s">
        <v>108</v>
      </c>
      <c r="B20" s="34"/>
      <c r="C20" s="33" t="s">
        <v>4</v>
      </c>
      <c r="E20" s="36">
        <f>IF($B$18=0,0,B20/$B$18)</f>
        <v>0</v>
      </c>
    </row>
    <row r="21" spans="1:6" hidden="1" outlineLevel="1" x14ac:dyDescent="0.3">
      <c r="A21" s="33" t="s">
        <v>109</v>
      </c>
      <c r="B21" s="34"/>
      <c r="C21" s="33" t="s">
        <v>4</v>
      </c>
      <c r="E21" s="36">
        <f t="shared" ref="E21:E23" si="1">IF($B$18=0,0,B21/$B$18)</f>
        <v>0</v>
      </c>
    </row>
    <row r="22" spans="1:6" hidden="1" outlineLevel="1" x14ac:dyDescent="0.3">
      <c r="A22" s="33" t="s">
        <v>110</v>
      </c>
      <c r="B22" s="34"/>
      <c r="C22" s="33" t="s">
        <v>4</v>
      </c>
      <c r="E22" s="36">
        <f t="shared" si="1"/>
        <v>0</v>
      </c>
    </row>
    <row r="23" spans="1:6" hidden="1" outlineLevel="1" x14ac:dyDescent="0.3">
      <c r="A23" s="33" t="s">
        <v>111</v>
      </c>
      <c r="B23" s="34"/>
      <c r="C23" s="33" t="s">
        <v>4</v>
      </c>
      <c r="E23" s="36">
        <f t="shared" si="1"/>
        <v>0</v>
      </c>
    </row>
    <row r="24" spans="1:6" collapsed="1" x14ac:dyDescent="0.3">
      <c r="A24" s="33" t="s">
        <v>104</v>
      </c>
      <c r="B24" s="34">
        <v>62.42</v>
      </c>
      <c r="C24" s="33" t="s">
        <v>4</v>
      </c>
      <c r="D24" s="36">
        <f>IF($B$15=0,0,B24/$B$15)</f>
        <v>3.107931149516284E-2</v>
      </c>
    </row>
    <row r="25" spans="1:6" hidden="1" outlineLevel="1" x14ac:dyDescent="0.3">
      <c r="A25" s="33" t="s">
        <v>112</v>
      </c>
      <c r="B25" s="34"/>
      <c r="C25" s="33" t="s">
        <v>4</v>
      </c>
    </row>
    <row r="26" spans="1:6" collapsed="1" x14ac:dyDescent="0.3">
      <c r="A26" s="33" t="s">
        <v>105</v>
      </c>
      <c r="B26" s="34">
        <v>0</v>
      </c>
      <c r="C26" s="33" t="s">
        <v>4</v>
      </c>
      <c r="D26" s="36">
        <f>IF($B$15=0,0,B26/$B$15)</f>
        <v>0</v>
      </c>
    </row>
    <row r="27" spans="1:6" hidden="1" outlineLevel="1" x14ac:dyDescent="0.3">
      <c r="A27" s="33" t="s">
        <v>113</v>
      </c>
      <c r="B27" s="34"/>
      <c r="C27" s="33" t="s">
        <v>4</v>
      </c>
    </row>
    <row r="28" spans="1:6" collapsed="1" x14ac:dyDescent="0.3">
      <c r="A28" s="33"/>
      <c r="B28" s="33"/>
      <c r="C28" s="33"/>
      <c r="D28" s="33"/>
      <c r="E28" s="33"/>
      <c r="F28" s="33"/>
    </row>
    <row r="29" spans="1:6" x14ac:dyDescent="0.3">
      <c r="A29" s="33" t="s">
        <v>146</v>
      </c>
      <c r="B29" s="34">
        <v>458</v>
      </c>
      <c r="C29" s="33" t="s">
        <v>4</v>
      </c>
      <c r="D29" s="33"/>
      <c r="E29" s="33"/>
      <c r="F29" s="33"/>
    </row>
    <row r="30" spans="1:6" x14ac:dyDescent="0.3">
      <c r="A30" s="33" t="s">
        <v>116</v>
      </c>
      <c r="B30" s="34">
        <f>SUM(Remarks!D36:D41)</f>
        <v>1681.8831</v>
      </c>
      <c r="C30" s="33" t="s">
        <v>4</v>
      </c>
    </row>
    <row r="31" spans="1:6" x14ac:dyDescent="0.3">
      <c r="A31" s="33" t="s">
        <v>117</v>
      </c>
      <c r="B31" s="34">
        <f>14+255</f>
        <v>269</v>
      </c>
      <c r="C31" s="33" t="s">
        <v>4</v>
      </c>
    </row>
    <row r="33" spans="1:2" x14ac:dyDescent="0.3">
      <c r="A33" s="28" t="s">
        <v>13</v>
      </c>
    </row>
    <row r="34" spans="1:2" x14ac:dyDescent="0.3">
      <c r="A34" s="38" t="s">
        <v>114</v>
      </c>
      <c r="B34" s="39" t="str">
        <f>IF($B$7=0,"",(B15)/$B$7)</f>
        <v/>
      </c>
    </row>
    <row r="35" spans="1:2" x14ac:dyDescent="0.3">
      <c r="A35" s="38" t="s">
        <v>118</v>
      </c>
      <c r="B35" s="39" t="str">
        <f>IF($B$7=0,"",(B17)/$B$7)</f>
        <v/>
      </c>
    </row>
    <row r="36" spans="1:2" x14ac:dyDescent="0.3">
      <c r="A36" s="38" t="s">
        <v>119</v>
      </c>
      <c r="B36" s="65">
        <f>IF($B$17=0,"",(B30)/$B$17)</f>
        <v>0.93959949720670388</v>
      </c>
    </row>
    <row r="37" spans="1:2" x14ac:dyDescent="0.3">
      <c r="A37" s="38" t="s">
        <v>120</v>
      </c>
      <c r="B37" s="65">
        <f>IF($B$17=0,"",(B31)/$B$17)</f>
        <v>0.15027932960893856</v>
      </c>
    </row>
  </sheetData>
  <dataValidations count="3">
    <dataValidation type="list" allowBlank="1" showInputMessage="1" showErrorMessage="1" sqref="B3" xr:uid="{E28B9ED7-FA05-4002-9A79-1D4CEFA54CF0}">
      <formula1>"classic bid,EVM,open book"</formula1>
    </dataValidation>
    <dataValidation type="list" allowBlank="1" showInputMessage="1" showErrorMessage="1" sqref="B4" xr:uid="{5D2E87FD-D932-48F6-B8B2-9DCA96BB0301}">
      <formula1>"restauration,renovation,new,mixed project"</formula1>
    </dataValidation>
    <dataValidation type="list" allowBlank="1" showInputMessage="1" showErrorMessage="1" sqref="B2" xr:uid="{F1EEB65D-EB1F-4C43-99FB-B7173063C44E}">
      <formula1>"logistic friendly,logistic challenging"</formula1>
    </dataValidation>
  </dataValidation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800A-BEF5-49EA-B314-8AEDFAD3D342}">
  <dimension ref="A1:J51"/>
  <sheetViews>
    <sheetView zoomScale="80" zoomScaleNormal="80" workbookViewId="0">
      <pane ySplit="3" topLeftCell="A13" activePane="bottomLeft" state="frozen"/>
      <selection pane="bottomLeft" activeCell="B28" sqref="B28"/>
    </sheetView>
  </sheetViews>
  <sheetFormatPr defaultRowHeight="14.4" outlineLevelRow="2" x14ac:dyDescent="0.3"/>
  <cols>
    <col min="1" max="1" width="80.44140625" style="30" customWidth="1"/>
    <col min="2" max="2" width="66.33203125" style="30" customWidth="1"/>
    <col min="3" max="3" width="17.21875" style="30" bestFit="1" customWidth="1"/>
    <col min="4" max="4" width="15.77734375" style="30" customWidth="1"/>
    <col min="5" max="5" width="15.77734375" style="33" customWidth="1"/>
    <col min="6" max="6" width="54.109375" style="30" customWidth="1"/>
    <col min="7" max="7" width="22.33203125" style="30" bestFit="1" customWidth="1"/>
    <col min="8" max="16384" width="8.88671875" style="30"/>
  </cols>
  <sheetData>
    <row r="1" spans="1:7" ht="15" thickBot="1" x14ac:dyDescent="0.35">
      <c r="A1" s="28" t="s">
        <v>92</v>
      </c>
      <c r="B1" s="40" t="str">
        <f>IF(Design!B1="","",Design!B1)</f>
        <v>[E]#T Toren</v>
      </c>
    </row>
    <row r="2" spans="1:7" ht="15.6" thickTop="1" thickBot="1" x14ac:dyDescent="0.35">
      <c r="A2" s="28" t="s">
        <v>14</v>
      </c>
      <c r="B2" s="55">
        <v>43369</v>
      </c>
      <c r="C2" s="87" t="s">
        <v>15</v>
      </c>
      <c r="D2" s="87"/>
    </row>
    <row r="3" spans="1:7" x14ac:dyDescent="0.3">
      <c r="B3" s="37" t="s">
        <v>16</v>
      </c>
      <c r="C3" s="37" t="s">
        <v>1</v>
      </c>
      <c r="D3" s="37" t="s">
        <v>17</v>
      </c>
      <c r="E3" s="37" t="s">
        <v>87</v>
      </c>
      <c r="F3" s="37" t="s">
        <v>18</v>
      </c>
      <c r="G3" s="37" t="s">
        <v>19</v>
      </c>
    </row>
    <row r="4" spans="1:7" ht="15" thickBot="1" x14ac:dyDescent="0.35">
      <c r="A4" s="4" t="s">
        <v>83</v>
      </c>
      <c r="B4" s="4"/>
      <c r="C4" s="11">
        <f>SUBTOTAL(9,C6:C8)</f>
        <v>0</v>
      </c>
      <c r="D4" s="11">
        <f>SUBTOTAL(9,D6:D8)</f>
        <v>0</v>
      </c>
      <c r="E4" s="45">
        <f>Design!$B$7</f>
        <v>0</v>
      </c>
      <c r="F4" s="8" t="s">
        <v>93</v>
      </c>
      <c r="G4" s="41">
        <f>IF(E4=0,0,(C4+D4)/E4)</f>
        <v>0</v>
      </c>
    </row>
    <row r="5" spans="1:7" ht="15" thickTop="1" x14ac:dyDescent="0.3">
      <c r="A5" s="4"/>
      <c r="B5" s="4"/>
      <c r="C5" s="8"/>
      <c r="D5" s="18">
        <f>IF(C4=0,0,D4/C4)</f>
        <v>0</v>
      </c>
      <c r="E5" s="1"/>
      <c r="F5" s="1"/>
      <c r="G5" s="1"/>
    </row>
    <row r="6" spans="1:7" ht="15" outlineLevel="1" thickBot="1" x14ac:dyDescent="0.35">
      <c r="A6" s="5" t="s">
        <v>84</v>
      </c>
      <c r="B6" s="5"/>
      <c r="C6" s="42"/>
      <c r="D6" s="42"/>
      <c r="E6" s="46">
        <f>Design!$B$7</f>
        <v>0</v>
      </c>
      <c r="F6" s="5" t="s">
        <v>93</v>
      </c>
      <c r="G6" s="41">
        <f>IF(E6=0,0,(C6+D6)/E6)</f>
        <v>0</v>
      </c>
    </row>
    <row r="7" spans="1:7" ht="15" outlineLevel="1" thickTop="1" x14ac:dyDescent="0.3">
      <c r="A7" s="5" t="s">
        <v>85</v>
      </c>
      <c r="B7" s="5"/>
      <c r="C7" s="42"/>
      <c r="D7" s="42"/>
      <c r="E7" s="25"/>
      <c r="F7" s="26" t="s">
        <v>95</v>
      </c>
      <c r="G7" s="18">
        <f>IF((C6+D6)=0,0,(C7+D7)/(C6+D6))</f>
        <v>0</v>
      </c>
    </row>
    <row r="8" spans="1:7" ht="15" outlineLevel="1" thickBot="1" x14ac:dyDescent="0.35">
      <c r="A8" s="5" t="s">
        <v>86</v>
      </c>
      <c r="B8" s="5"/>
      <c r="C8" s="42"/>
      <c r="D8" s="42"/>
      <c r="E8" s="47">
        <f>Design!B10</f>
        <v>0</v>
      </c>
      <c r="F8" s="5" t="s">
        <v>96</v>
      </c>
      <c r="G8" s="41">
        <f>IF(E8=0,0,(C8+D8)/E8)</f>
        <v>0</v>
      </c>
    </row>
    <row r="9" spans="1:7" ht="15.6" thickTop="1" thickBot="1" x14ac:dyDescent="0.35">
      <c r="A9" s="4" t="s">
        <v>20</v>
      </c>
      <c r="B9" s="4"/>
      <c r="C9" s="11">
        <f>SUBTOTAL(9,C11:C45)</f>
        <v>3072142.64</v>
      </c>
      <c r="D9" s="11">
        <f>SUBTOTAL(9,D11:D45)</f>
        <v>158896.89999999997</v>
      </c>
      <c r="E9" s="45">
        <f>Design!B15</f>
        <v>2008.41</v>
      </c>
      <c r="F9" s="8" t="s">
        <v>115</v>
      </c>
      <c r="G9" s="41">
        <f>IF(E9=0,0,(C9+D9)/E9)</f>
        <v>1608.7549554124905</v>
      </c>
    </row>
    <row r="10" spans="1:7" ht="15" thickTop="1" x14ac:dyDescent="0.3">
      <c r="A10" s="4"/>
      <c r="B10" s="4"/>
      <c r="C10" s="8"/>
      <c r="D10" s="18">
        <f>IF(C9=0,0,D9/C9)</f>
        <v>5.1721849738070744E-2</v>
      </c>
      <c r="E10" s="1"/>
      <c r="F10" s="1"/>
      <c r="G10" s="1"/>
    </row>
    <row r="11" spans="1:7" ht="15" outlineLevel="1" thickBot="1" x14ac:dyDescent="0.35">
      <c r="A11" s="5" t="s">
        <v>21</v>
      </c>
      <c r="B11" s="5"/>
      <c r="C11" s="11">
        <f>SUBTOTAL(9,C12:C23)</f>
        <v>2932852.5200000005</v>
      </c>
      <c r="D11" s="11">
        <f>SUBTOTAL(9,D12:D23)</f>
        <v>154098.49999999997</v>
      </c>
      <c r="E11" s="47">
        <f>Design!$B$15</f>
        <v>2008.41</v>
      </c>
      <c r="F11" s="5" t="s">
        <v>115</v>
      </c>
      <c r="G11" s="41">
        <f>IF(E11=0,0,(C11+D11)/E11)</f>
        <v>1537.0123729716545</v>
      </c>
    </row>
    <row r="12" spans="1:7" ht="64.2" customHeight="1" outlineLevel="2" thickTop="1" thickBot="1" x14ac:dyDescent="0.35">
      <c r="A12" s="6" t="s">
        <v>22</v>
      </c>
      <c r="B12" s="12" t="s">
        <v>134</v>
      </c>
      <c r="C12" s="42">
        <v>356414.26</v>
      </c>
      <c r="D12" s="42">
        <v>-1633.89</v>
      </c>
      <c r="E12" s="48">
        <f>Design!B29</f>
        <v>458</v>
      </c>
      <c r="F12" s="9" t="s">
        <v>82</v>
      </c>
      <c r="G12" s="41">
        <f>IF(E12=0,0,(C12+D12)/E12)</f>
        <v>774.62962882096065</v>
      </c>
    </row>
    <row r="13" spans="1:7" ht="66" customHeight="1" outlineLevel="2" thickTop="1" thickBot="1" x14ac:dyDescent="0.35">
      <c r="A13" s="6" t="s">
        <v>23</v>
      </c>
      <c r="B13" s="15" t="s">
        <v>147</v>
      </c>
      <c r="C13" s="42">
        <v>778579.08</v>
      </c>
      <c r="D13" s="42">
        <v>369.77</v>
      </c>
      <c r="E13" s="48">
        <f>Design!$B$17</f>
        <v>1790</v>
      </c>
      <c r="F13" s="6" t="s">
        <v>24</v>
      </c>
      <c r="G13" s="41">
        <f t="shared" ref="G13:G44" si="0">IF(E13=0,0,(C13+D13)/E13)</f>
        <v>435.16695530726258</v>
      </c>
    </row>
    <row r="14" spans="1:7" ht="36" customHeight="1" outlineLevel="2" thickTop="1" thickBot="1" x14ac:dyDescent="0.35">
      <c r="A14" s="6" t="s">
        <v>25</v>
      </c>
      <c r="B14" s="15" t="s">
        <v>135</v>
      </c>
      <c r="C14" s="42">
        <v>43496.18</v>
      </c>
      <c r="D14" s="42">
        <v>848.42</v>
      </c>
      <c r="E14" s="48">
        <f>Design!B31</f>
        <v>269</v>
      </c>
      <c r="F14" s="6" t="s">
        <v>26</v>
      </c>
      <c r="G14" s="41">
        <f t="shared" si="0"/>
        <v>164.84981412639405</v>
      </c>
    </row>
    <row r="15" spans="1:7" ht="61.8" customHeight="1" outlineLevel="2" thickTop="1" thickBot="1" x14ac:dyDescent="0.35">
      <c r="A15" s="6" t="s">
        <v>27</v>
      </c>
      <c r="B15" s="15" t="s">
        <v>148</v>
      </c>
      <c r="C15" s="42">
        <v>902356.8</v>
      </c>
      <c r="D15" s="42">
        <v>98987.74</v>
      </c>
      <c r="E15" s="48">
        <f>Design!B30</f>
        <v>1681.8831</v>
      </c>
      <c r="F15" s="6" t="s">
        <v>28</v>
      </c>
      <c r="G15" s="41">
        <f t="shared" si="0"/>
        <v>595.37106948752864</v>
      </c>
    </row>
    <row r="16" spans="1:7" ht="60.6" customHeight="1" outlineLevel="2" thickTop="1" thickBot="1" x14ac:dyDescent="0.35">
      <c r="A16" s="6" t="s">
        <v>190</v>
      </c>
      <c r="B16" s="15" t="s">
        <v>136</v>
      </c>
      <c r="C16" s="42">
        <v>329077.75</v>
      </c>
      <c r="D16" s="42">
        <v>65448.06</v>
      </c>
      <c r="E16" s="48">
        <f>Design!$B$17</f>
        <v>1790</v>
      </c>
      <c r="F16" s="6" t="s">
        <v>24</v>
      </c>
      <c r="G16" s="41">
        <f t="shared" si="0"/>
        <v>220.40548044692738</v>
      </c>
    </row>
    <row r="17" spans="1:10" ht="87.6" customHeight="1" outlineLevel="2" thickTop="1" thickBot="1" x14ac:dyDescent="0.35">
      <c r="A17" s="6" t="s">
        <v>44</v>
      </c>
      <c r="B17" s="15" t="s">
        <v>149</v>
      </c>
      <c r="C17" s="42">
        <v>279115.51</v>
      </c>
      <c r="D17" s="42">
        <v>-5054.3900000000003</v>
      </c>
      <c r="E17" s="48">
        <f>Design!$B$17</f>
        <v>1790</v>
      </c>
      <c r="F17" s="6" t="s">
        <v>24</v>
      </c>
      <c r="G17" s="41">
        <f t="shared" si="0"/>
        <v>153.10677094972067</v>
      </c>
    </row>
    <row r="18" spans="1:10" ht="42" outlineLevel="2" thickTop="1" x14ac:dyDescent="0.3">
      <c r="A18" s="6" t="s">
        <v>29</v>
      </c>
      <c r="B18" s="15" t="s">
        <v>177</v>
      </c>
      <c r="C18" s="42">
        <v>9444.3700000000008</v>
      </c>
      <c r="D18" s="42">
        <v>1115.71</v>
      </c>
      <c r="E18" s="44">
        <f>Design!B24+Design!B26</f>
        <v>62.42</v>
      </c>
      <c r="F18" s="6" t="s">
        <v>102</v>
      </c>
      <c r="G18" s="41">
        <f t="shared" si="0"/>
        <v>169.1778276193528</v>
      </c>
    </row>
    <row r="19" spans="1:10" ht="48" customHeight="1" outlineLevel="2" x14ac:dyDescent="0.3">
      <c r="A19" s="6" t="s">
        <v>31</v>
      </c>
      <c r="B19" s="15" t="s">
        <v>150</v>
      </c>
      <c r="C19" s="42">
        <v>96234.99</v>
      </c>
      <c r="D19" s="42"/>
      <c r="E19" s="34">
        <v>14</v>
      </c>
      <c r="F19" s="6" t="s">
        <v>32</v>
      </c>
      <c r="G19" s="41">
        <f t="shared" si="0"/>
        <v>6873.9278571428576</v>
      </c>
    </row>
    <row r="20" spans="1:10" ht="28.2" customHeight="1" outlineLevel="2" x14ac:dyDescent="0.3">
      <c r="A20" s="6" t="s">
        <v>33</v>
      </c>
      <c r="B20" s="15"/>
      <c r="C20" s="42"/>
      <c r="D20" s="42"/>
      <c r="E20" s="34"/>
      <c r="F20" s="6" t="s">
        <v>32</v>
      </c>
      <c r="G20" s="41">
        <f t="shared" si="0"/>
        <v>0</v>
      </c>
    </row>
    <row r="21" spans="1:10" ht="59.4" customHeight="1" outlineLevel="2" thickBot="1" x14ac:dyDescent="0.35">
      <c r="A21" s="6" t="s">
        <v>34</v>
      </c>
      <c r="B21" s="15" t="s">
        <v>137</v>
      </c>
      <c r="C21" s="42">
        <v>117579.23</v>
      </c>
      <c r="D21" s="42">
        <v>-5982.92</v>
      </c>
      <c r="E21" s="48">
        <f>Design!$B$17</f>
        <v>1790</v>
      </c>
      <c r="F21" s="6" t="s">
        <v>24</v>
      </c>
      <c r="G21" s="41">
        <f t="shared" si="0"/>
        <v>62.344307262569828</v>
      </c>
    </row>
    <row r="22" spans="1:10" ht="74.400000000000006" customHeight="1" outlineLevel="2" thickTop="1" x14ac:dyDescent="0.3">
      <c r="A22" s="6" t="s">
        <v>35</v>
      </c>
      <c r="B22" s="15" t="s">
        <v>208</v>
      </c>
      <c r="C22" s="42">
        <f>3853.87+16700.48</f>
        <v>20554.349999999999</v>
      </c>
      <c r="D22" s="42"/>
      <c r="E22" s="44">
        <f>Design!B24+14</f>
        <v>76.42</v>
      </c>
      <c r="F22" s="6" t="s">
        <v>99</v>
      </c>
      <c r="G22" s="41">
        <f t="shared" si="0"/>
        <v>268.96558492541214</v>
      </c>
    </row>
    <row r="23" spans="1:10" ht="15" outlineLevel="1" thickBot="1" x14ac:dyDescent="0.35">
      <c r="A23" s="5" t="s">
        <v>151</v>
      </c>
      <c r="B23" s="5"/>
      <c r="C23" s="11">
        <f>SUBTOTAL(9,C24:C32)</f>
        <v>0</v>
      </c>
      <c r="D23" s="11">
        <f>SUBTOTAL(9,D24:D32)</f>
        <v>0</v>
      </c>
      <c r="E23" s="47">
        <f>Design!$B$15</f>
        <v>2008.41</v>
      </c>
      <c r="F23" s="5" t="s">
        <v>115</v>
      </c>
      <c r="G23" s="41">
        <f>IF(E23=0,0,(C23+D23)/E23)</f>
        <v>0</v>
      </c>
      <c r="J23" s="30" t="s">
        <v>98</v>
      </c>
    </row>
    <row r="24" spans="1:10" ht="15" outlineLevel="2" thickTop="1" x14ac:dyDescent="0.3">
      <c r="A24" s="6" t="s">
        <v>153</v>
      </c>
      <c r="B24" s="12" t="s">
        <v>189</v>
      </c>
      <c r="C24" s="42"/>
      <c r="D24" s="42"/>
      <c r="E24" s="77"/>
      <c r="F24" s="6" t="s">
        <v>24</v>
      </c>
      <c r="G24" s="41">
        <f t="shared" si="0"/>
        <v>0</v>
      </c>
    </row>
    <row r="25" spans="1:10" outlineLevel="2" x14ac:dyDescent="0.3">
      <c r="A25" s="6" t="s">
        <v>154</v>
      </c>
      <c r="B25" s="12" t="s">
        <v>189</v>
      </c>
      <c r="C25" s="42"/>
      <c r="D25" s="42"/>
      <c r="E25" s="77"/>
      <c r="F25" s="6" t="s">
        <v>24</v>
      </c>
      <c r="G25" s="41">
        <f t="shared" si="0"/>
        <v>0</v>
      </c>
    </row>
    <row r="26" spans="1:10" outlineLevel="2" x14ac:dyDescent="0.3">
      <c r="A26" s="6" t="s">
        <v>155</v>
      </c>
      <c r="B26" s="12" t="s">
        <v>189</v>
      </c>
      <c r="C26" s="42"/>
      <c r="D26" s="42"/>
      <c r="E26" s="77"/>
      <c r="F26" s="6" t="s">
        <v>24</v>
      </c>
      <c r="G26" s="41">
        <f t="shared" si="0"/>
        <v>0</v>
      </c>
    </row>
    <row r="27" spans="1:10" outlineLevel="2" x14ac:dyDescent="0.3">
      <c r="A27" s="6" t="s">
        <v>156</v>
      </c>
      <c r="B27" s="12" t="s">
        <v>189</v>
      </c>
      <c r="C27" s="42"/>
      <c r="D27" s="42"/>
      <c r="E27" s="77"/>
      <c r="F27" s="6" t="s">
        <v>24</v>
      </c>
      <c r="G27" s="41">
        <f t="shared" si="0"/>
        <v>0</v>
      </c>
    </row>
    <row r="28" spans="1:10" ht="27.6" outlineLevel="2" x14ac:dyDescent="0.3">
      <c r="A28" s="6" t="s">
        <v>157</v>
      </c>
      <c r="B28" s="12" t="s">
        <v>189</v>
      </c>
      <c r="C28" s="42"/>
      <c r="D28" s="42"/>
      <c r="E28" s="77"/>
      <c r="F28" s="6" t="s">
        <v>24</v>
      </c>
      <c r="G28" s="41">
        <f t="shared" si="0"/>
        <v>0</v>
      </c>
    </row>
    <row r="29" spans="1:10" outlineLevel="2" x14ac:dyDescent="0.3">
      <c r="A29" s="6" t="s">
        <v>158</v>
      </c>
      <c r="B29" s="12" t="s">
        <v>189</v>
      </c>
      <c r="C29" s="42"/>
      <c r="D29" s="42"/>
      <c r="E29" s="77"/>
      <c r="F29" s="6" t="s">
        <v>24</v>
      </c>
      <c r="G29" s="41">
        <f t="shared" si="0"/>
        <v>0</v>
      </c>
    </row>
    <row r="30" spans="1:10" outlineLevel="2" x14ac:dyDescent="0.3">
      <c r="A30" s="6" t="s">
        <v>159</v>
      </c>
      <c r="B30" s="12" t="s">
        <v>189</v>
      </c>
      <c r="C30" s="42"/>
      <c r="D30" s="42"/>
      <c r="E30" s="77"/>
      <c r="F30" s="6" t="s">
        <v>32</v>
      </c>
      <c r="G30" s="41">
        <f t="shared" si="0"/>
        <v>0</v>
      </c>
    </row>
    <row r="31" spans="1:10" outlineLevel="2" x14ac:dyDescent="0.3">
      <c r="A31" s="6" t="s">
        <v>36</v>
      </c>
      <c r="B31" s="12" t="s">
        <v>189</v>
      </c>
      <c r="C31" s="42"/>
      <c r="D31" s="42"/>
      <c r="E31" s="77"/>
      <c r="F31" s="6" t="s">
        <v>24</v>
      </c>
      <c r="G31" s="41">
        <f t="shared" si="0"/>
        <v>0</v>
      </c>
    </row>
    <row r="32" spans="1:10" ht="15" outlineLevel="1" thickBot="1" x14ac:dyDescent="0.35">
      <c r="A32" s="5" t="s">
        <v>173</v>
      </c>
      <c r="B32" s="5"/>
      <c r="C32" s="11">
        <f>SUBTOTAL(9,C33:C39)</f>
        <v>139290.12</v>
      </c>
      <c r="D32" s="11">
        <f>SUBTOTAL(9,D33:D39)</f>
        <v>4798.3999999999996</v>
      </c>
      <c r="E32" s="47">
        <f>Design!$B$15</f>
        <v>2008.41</v>
      </c>
      <c r="F32" s="5" t="s">
        <v>115</v>
      </c>
      <c r="G32" s="41">
        <f>IF(E32=0,0,(C32+D32)/E32)</f>
        <v>71.742582440836273</v>
      </c>
    </row>
    <row r="33" spans="1:10" ht="31.2" customHeight="1" outlineLevel="2" thickTop="1" thickBot="1" x14ac:dyDescent="0.35">
      <c r="A33" s="6" t="s">
        <v>191</v>
      </c>
      <c r="B33" s="12" t="s">
        <v>138</v>
      </c>
      <c r="C33" s="42">
        <v>775.12</v>
      </c>
      <c r="D33" s="42"/>
      <c r="E33" s="48">
        <f>Design!$B$17</f>
        <v>1790</v>
      </c>
      <c r="F33" s="6" t="s">
        <v>24</v>
      </c>
      <c r="G33" s="54">
        <f t="shared" si="0"/>
        <v>0.43302793296089387</v>
      </c>
      <c r="J33" s="30" t="s">
        <v>98</v>
      </c>
    </row>
    <row r="34" spans="1:10" ht="42.6" outlineLevel="2" thickTop="1" thickBot="1" x14ac:dyDescent="0.35">
      <c r="A34" s="6" t="s">
        <v>192</v>
      </c>
      <c r="B34" s="12" t="s">
        <v>139</v>
      </c>
      <c r="C34" s="42">
        <v>83178.259999999995</v>
      </c>
      <c r="D34" s="42"/>
      <c r="E34" s="48">
        <f>Design!$B$17</f>
        <v>1790</v>
      </c>
      <c r="F34" s="6" t="s">
        <v>24</v>
      </c>
      <c r="G34" s="41">
        <f t="shared" si="0"/>
        <v>46.468301675977649</v>
      </c>
    </row>
    <row r="35" spans="1:10" ht="15" outlineLevel="2" thickTop="1" x14ac:dyDescent="0.3">
      <c r="A35" s="6" t="s">
        <v>193</v>
      </c>
      <c r="B35" s="15" t="s">
        <v>152</v>
      </c>
      <c r="C35" s="42">
        <f>28655.96-4797.16</f>
        <v>23858.799999999999</v>
      </c>
      <c r="D35" s="42">
        <v>4798.3999999999996</v>
      </c>
      <c r="E35" s="43">
        <v>4</v>
      </c>
      <c r="F35" s="6" t="s">
        <v>37</v>
      </c>
      <c r="G35" s="41">
        <f>IF(E35=0,0,(C35+D35)/E35)</f>
        <v>7164.2999999999993</v>
      </c>
    </row>
    <row r="36" spans="1:10" outlineLevel="2" x14ac:dyDescent="0.3">
      <c r="A36" s="6" t="s">
        <v>196</v>
      </c>
      <c r="B36" s="12" t="s">
        <v>140</v>
      </c>
      <c r="C36" s="42">
        <v>25310</v>
      </c>
      <c r="D36" s="42"/>
      <c r="E36" s="34">
        <v>27</v>
      </c>
      <c r="F36" s="6" t="s">
        <v>37</v>
      </c>
      <c r="G36" s="41">
        <f>IF(E36=0,0,(C36+D36)/E36)</f>
        <v>937.40740740740739</v>
      </c>
    </row>
    <row r="37" spans="1:10" ht="28.2" outlineLevel="2" thickBot="1" x14ac:dyDescent="0.35">
      <c r="A37" s="6" t="s">
        <v>194</v>
      </c>
      <c r="B37" s="12" t="s">
        <v>141</v>
      </c>
      <c r="C37" s="42">
        <v>1088.46</v>
      </c>
      <c r="D37" s="42"/>
      <c r="E37" s="48">
        <f>Design!$B$17</f>
        <v>1790</v>
      </c>
      <c r="F37" s="6" t="s">
        <v>24</v>
      </c>
      <c r="G37" s="41">
        <f t="shared" si="0"/>
        <v>0.60807821229050285</v>
      </c>
    </row>
    <row r="38" spans="1:10" ht="15.6" outlineLevel="2" thickTop="1" thickBot="1" x14ac:dyDescent="0.35">
      <c r="A38" s="6" t="s">
        <v>195</v>
      </c>
      <c r="B38" s="12" t="s">
        <v>142</v>
      </c>
      <c r="C38" s="42">
        <v>5079.4799999999996</v>
      </c>
      <c r="D38" s="42"/>
      <c r="E38" s="48">
        <f>Design!$B$17</f>
        <v>1790</v>
      </c>
      <c r="F38" s="6" t="s">
        <v>24</v>
      </c>
      <c r="G38" s="41">
        <f t="shared" si="0"/>
        <v>2.8376983240223463</v>
      </c>
    </row>
    <row r="39" spans="1:10" ht="15.6" outlineLevel="1" thickTop="1" thickBot="1" x14ac:dyDescent="0.35">
      <c r="A39" s="5" t="s">
        <v>38</v>
      </c>
      <c r="B39" s="5"/>
      <c r="C39" s="11">
        <f>SUBTOTAL(9,C40:C44)</f>
        <v>0</v>
      </c>
      <c r="D39" s="11">
        <f>SUBTOTAL(9,D40:D44)</f>
        <v>0</v>
      </c>
      <c r="E39" s="47">
        <f>Design!$B$11+Design!$B$12</f>
        <v>0</v>
      </c>
      <c r="F39" s="5" t="s">
        <v>100</v>
      </c>
      <c r="G39" s="41">
        <f>IF(E39=0,0,(C39+D39)/E39)</f>
        <v>0</v>
      </c>
    </row>
    <row r="40" spans="1:10" ht="15.6" outlineLevel="2" thickTop="1" thickBot="1" x14ac:dyDescent="0.35">
      <c r="A40" s="6" t="s">
        <v>197</v>
      </c>
      <c r="B40" s="12"/>
      <c r="C40" s="42"/>
      <c r="D40" s="42"/>
      <c r="E40" s="48">
        <f>Design!$B$11+Design!$B$12</f>
        <v>0</v>
      </c>
      <c r="F40" s="6" t="s">
        <v>100</v>
      </c>
      <c r="G40" s="41">
        <f t="shared" si="0"/>
        <v>0</v>
      </c>
    </row>
    <row r="41" spans="1:10" ht="15" outlineLevel="2" thickTop="1" x14ac:dyDescent="0.3">
      <c r="A41" s="6" t="s">
        <v>198</v>
      </c>
      <c r="B41" s="15"/>
      <c r="C41" s="42"/>
      <c r="D41" s="42"/>
      <c r="E41" s="34"/>
      <c r="F41" s="6" t="s">
        <v>40</v>
      </c>
      <c r="G41" s="41">
        <f t="shared" si="0"/>
        <v>0</v>
      </c>
    </row>
    <row r="42" spans="1:10" outlineLevel="2" x14ac:dyDescent="0.3">
      <c r="A42" s="6" t="s">
        <v>199</v>
      </c>
      <c r="B42" s="15"/>
      <c r="C42" s="42"/>
      <c r="D42" s="42"/>
      <c r="E42" s="34"/>
      <c r="F42" s="6" t="s">
        <v>41</v>
      </c>
      <c r="G42" s="41">
        <f t="shared" si="0"/>
        <v>0</v>
      </c>
    </row>
    <row r="43" spans="1:10" ht="15" outlineLevel="2" thickBot="1" x14ac:dyDescent="0.35">
      <c r="A43" s="6" t="s">
        <v>200</v>
      </c>
      <c r="B43" s="15"/>
      <c r="C43" s="42"/>
      <c r="D43" s="42"/>
      <c r="E43" s="48">
        <f>Design!$B$11+Design!$B$12</f>
        <v>0</v>
      </c>
      <c r="F43" s="6" t="s">
        <v>100</v>
      </c>
      <c r="G43" s="41">
        <f t="shared" si="0"/>
        <v>0</v>
      </c>
    </row>
    <row r="44" spans="1:10" ht="15.6" outlineLevel="2" thickTop="1" thickBot="1" x14ac:dyDescent="0.35">
      <c r="A44" s="6" t="s">
        <v>42</v>
      </c>
      <c r="B44" s="15"/>
      <c r="C44" s="42"/>
      <c r="D44" s="42"/>
      <c r="E44" s="48">
        <f>Design!$B$11+Design!$B$12</f>
        <v>0</v>
      </c>
      <c r="F44" s="6" t="s">
        <v>100</v>
      </c>
      <c r="G44" s="41">
        <f t="shared" si="0"/>
        <v>0</v>
      </c>
    </row>
    <row r="45" spans="1:10" ht="15" outlineLevel="1" thickTop="1" x14ac:dyDescent="0.3">
      <c r="A45" s="5" t="s">
        <v>43</v>
      </c>
      <c r="B45" s="15"/>
      <c r="C45" s="42"/>
      <c r="D45" s="42"/>
      <c r="E45" s="25"/>
      <c r="F45" s="26" t="s">
        <v>101</v>
      </c>
      <c r="G45" s="18"/>
    </row>
    <row r="46" spans="1:10" x14ac:dyDescent="0.3">
      <c r="A46" s="4" t="s">
        <v>88</v>
      </c>
      <c r="B46" s="4"/>
      <c r="C46" s="11">
        <f>SUBTOTAL(9,C48:C49)</f>
        <v>0</v>
      </c>
      <c r="D46" s="11">
        <f>SUBTOTAL(9,D48:D49)</f>
        <v>0</v>
      </c>
      <c r="E46" s="1"/>
      <c r="F46" s="27" t="s">
        <v>90</v>
      </c>
      <c r="G46" s="18">
        <f>IF(SUM(C9:D9)=0,0,SUM(C46:D46)/SUM(C9:D9))</f>
        <v>0</v>
      </c>
    </row>
    <row r="47" spans="1:10" x14ac:dyDescent="0.3">
      <c r="A47" s="4"/>
      <c r="B47" s="4"/>
      <c r="C47" s="8"/>
      <c r="D47" s="18">
        <f>IF(C46=0,0,D46/C46)</f>
        <v>0</v>
      </c>
      <c r="E47" s="1"/>
      <c r="F47" s="1"/>
      <c r="G47" s="1"/>
    </row>
    <row r="48" spans="1:10" outlineLevel="1" x14ac:dyDescent="0.3">
      <c r="A48" s="5" t="s">
        <v>89</v>
      </c>
      <c r="B48" s="5"/>
      <c r="C48" s="42"/>
      <c r="D48" s="42"/>
      <c r="E48" s="86"/>
      <c r="F48" s="86"/>
      <c r="G48" s="86"/>
    </row>
    <row r="49" spans="1:7" outlineLevel="1" x14ac:dyDescent="0.3">
      <c r="A49" s="5" t="s">
        <v>91</v>
      </c>
      <c r="B49" s="5"/>
      <c r="C49" s="42"/>
      <c r="D49" s="42"/>
      <c r="E49" s="86"/>
      <c r="F49" s="86"/>
      <c r="G49" s="86"/>
    </row>
    <row r="51" spans="1:7" x14ac:dyDescent="0.3">
      <c r="D51" s="30" t="s">
        <v>98</v>
      </c>
    </row>
  </sheetData>
  <mergeCells count="3">
    <mergeCell ref="E48:G48"/>
    <mergeCell ref="E49:G49"/>
    <mergeCell ref="C2:D2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41FE-9E2F-4B27-B166-58EBD5A2BF53}">
  <dimension ref="A1:G49"/>
  <sheetViews>
    <sheetView zoomScaleNormal="100" workbookViewId="0">
      <pane ySplit="3" topLeftCell="A4" activePane="bottomLeft" state="frozen"/>
      <selection pane="bottomLeft" activeCell="E30" sqref="E30:F30"/>
    </sheetView>
  </sheetViews>
  <sheetFormatPr defaultRowHeight="14.4" outlineLevelRow="2" x14ac:dyDescent="0.3"/>
  <cols>
    <col min="1" max="1" width="101.44140625" customWidth="1"/>
    <col min="2" max="2" width="30.77734375" customWidth="1"/>
    <col min="3" max="5" width="15.77734375" customWidth="1"/>
    <col min="6" max="6" width="54.109375" customWidth="1"/>
    <col min="7" max="7" width="22.33203125" bestFit="1" customWidth="1"/>
  </cols>
  <sheetData>
    <row r="1" spans="1:7" ht="15" thickBot="1" x14ac:dyDescent="0.35">
      <c r="A1" s="2" t="s">
        <v>92</v>
      </c>
      <c r="B1" s="20" t="str">
        <f>IF(Design!B1="","",Design!B1)</f>
        <v>[E]#T Toren</v>
      </c>
    </row>
    <row r="2" spans="1:7" ht="15.6" thickTop="1" thickBot="1" x14ac:dyDescent="0.35">
      <c r="A2" s="2" t="s">
        <v>14</v>
      </c>
      <c r="B2" s="19"/>
      <c r="C2" s="88" t="s">
        <v>15</v>
      </c>
      <c r="D2" s="88"/>
    </row>
    <row r="3" spans="1:7" x14ac:dyDescent="0.3">
      <c r="B3" s="7" t="s">
        <v>16</v>
      </c>
      <c r="C3" s="7" t="s">
        <v>1</v>
      </c>
      <c r="D3" s="7" t="s">
        <v>17</v>
      </c>
      <c r="E3" s="7" t="s">
        <v>87</v>
      </c>
      <c r="F3" s="7" t="s">
        <v>18</v>
      </c>
      <c r="G3" s="7" t="s">
        <v>19</v>
      </c>
    </row>
    <row r="4" spans="1:7" ht="15" thickBot="1" x14ac:dyDescent="0.35">
      <c r="A4" s="4" t="s">
        <v>83</v>
      </c>
      <c r="B4" s="4"/>
      <c r="C4" s="11">
        <f>SUBTOTAL(9,C6:C8)</f>
        <v>0</v>
      </c>
      <c r="D4" s="11">
        <f>SUBTOTAL(9,D6:D8)</f>
        <v>0</v>
      </c>
      <c r="E4" s="23">
        <f>Design!B7</f>
        <v>0</v>
      </c>
      <c r="F4" s="8" t="s">
        <v>93</v>
      </c>
      <c r="G4" s="14">
        <f>IF(E4=0,0,(C4+D4)/E4)</f>
        <v>0</v>
      </c>
    </row>
    <row r="5" spans="1:7" ht="15" thickTop="1" x14ac:dyDescent="0.3">
      <c r="A5" s="4"/>
      <c r="B5" s="4"/>
      <c r="C5" s="8"/>
      <c r="D5" s="18">
        <f>IF(C4=0,0,D4/C4)</f>
        <v>0</v>
      </c>
      <c r="E5" s="1"/>
      <c r="F5" s="1"/>
      <c r="G5" s="1"/>
    </row>
    <row r="6" spans="1:7" ht="15" outlineLevel="1" thickBot="1" x14ac:dyDescent="0.35">
      <c r="A6" s="5" t="s">
        <v>84</v>
      </c>
      <c r="B6" s="5"/>
      <c r="C6" s="13"/>
      <c r="D6" s="13"/>
      <c r="E6" s="22">
        <f>$E$4</f>
        <v>0</v>
      </c>
      <c r="F6" s="5" t="s">
        <v>93</v>
      </c>
      <c r="G6" s="14">
        <f>IF(E6=0,0,(C6+D6)/E6)</f>
        <v>0</v>
      </c>
    </row>
    <row r="7" spans="1:7" ht="15" outlineLevel="1" thickTop="1" x14ac:dyDescent="0.3">
      <c r="A7" s="5" t="s">
        <v>85</v>
      </c>
      <c r="B7" s="5"/>
      <c r="C7" s="13"/>
      <c r="D7" s="13"/>
      <c r="E7" s="5"/>
      <c r="F7" s="5" t="s">
        <v>95</v>
      </c>
      <c r="G7" s="18">
        <f>IF((C6+D6)=0,0,(C7+D7)/(C6+D6))</f>
        <v>0</v>
      </c>
    </row>
    <row r="8" spans="1:7" ht="15" outlineLevel="1" thickBot="1" x14ac:dyDescent="0.35">
      <c r="A8" s="5" t="s">
        <v>86</v>
      </c>
      <c r="B8" s="5"/>
      <c r="C8" s="13"/>
      <c r="D8" s="13"/>
      <c r="E8" s="24">
        <f>Design!B10</f>
        <v>0</v>
      </c>
      <c r="F8" s="5" t="s">
        <v>96</v>
      </c>
      <c r="G8" s="14">
        <f>IF(E8=0,0,(C8+D8)/E8)</f>
        <v>0</v>
      </c>
    </row>
    <row r="9" spans="1:7" ht="15.6" thickTop="1" thickBot="1" x14ac:dyDescent="0.35">
      <c r="A9" s="4" t="s">
        <v>45</v>
      </c>
      <c r="B9" s="4"/>
      <c r="C9" s="11">
        <f>SUBTOTAL(9,C11:C45)</f>
        <v>0</v>
      </c>
      <c r="D9" s="11">
        <f>SUBTOTAL(9,D11:D45)</f>
        <v>0</v>
      </c>
      <c r="E9" s="23" t="e">
        <f>Design!B15+Design!#REF!+Design!#REF!</f>
        <v>#REF!</v>
      </c>
      <c r="F9" s="8" t="s">
        <v>94</v>
      </c>
      <c r="G9" s="14" t="e">
        <f>IF(E9=0,0,(C9+D9)/E9)</f>
        <v>#REF!</v>
      </c>
    </row>
    <row r="10" spans="1:7" ht="15" thickTop="1" x14ac:dyDescent="0.3">
      <c r="A10" s="4"/>
      <c r="B10" s="4"/>
      <c r="C10" s="8"/>
      <c r="D10" s="18">
        <f>IF(C9=0,0,D9/C9)</f>
        <v>0</v>
      </c>
      <c r="E10" s="1"/>
      <c r="F10" s="1"/>
      <c r="G10" s="1"/>
    </row>
    <row r="11" spans="1:7" ht="15" outlineLevel="1" thickBot="1" x14ac:dyDescent="0.35">
      <c r="A11" s="5" t="s">
        <v>46</v>
      </c>
      <c r="B11" s="5"/>
      <c r="C11" s="11">
        <f>SUBTOTAL(9,C12:C23)</f>
        <v>0</v>
      </c>
      <c r="D11" s="11">
        <f>SUBTOTAL(9,D12:D23)</f>
        <v>0</v>
      </c>
      <c r="E11" s="24" t="e">
        <f>$E$9</f>
        <v>#REF!</v>
      </c>
      <c r="F11" s="5" t="s">
        <v>94</v>
      </c>
      <c r="G11" s="14" t="e">
        <f>IF(E11=0,0,(C11+D11)/E11)</f>
        <v>#REF!</v>
      </c>
    </row>
    <row r="12" spans="1:7" ht="15" outlineLevel="2" thickTop="1" x14ac:dyDescent="0.3">
      <c r="A12" s="6" t="s">
        <v>47</v>
      </c>
      <c r="B12" s="12"/>
      <c r="C12" s="13"/>
      <c r="D12" s="13"/>
      <c r="E12" s="10"/>
      <c r="F12" s="9" t="s">
        <v>82</v>
      </c>
      <c r="G12" s="14">
        <f>IF(E12=0,0,(C12+D12)/E12)</f>
        <v>0</v>
      </c>
    </row>
    <row r="13" spans="1:7" ht="15" outlineLevel="2" thickBot="1" x14ac:dyDescent="0.35">
      <c r="A13" s="6" t="s">
        <v>48</v>
      </c>
      <c r="B13" s="15"/>
      <c r="C13" s="13"/>
      <c r="D13" s="13"/>
      <c r="E13" s="21">
        <f>Design!B17</f>
        <v>1790</v>
      </c>
      <c r="F13" s="6" t="s">
        <v>24</v>
      </c>
      <c r="G13" s="14">
        <f t="shared" ref="G13:G44" si="0">IF(E13=0,0,(C13+D13)/E13)</f>
        <v>0</v>
      </c>
    </row>
    <row r="14" spans="1:7" ht="15.6" outlineLevel="2" thickTop="1" thickBot="1" x14ac:dyDescent="0.35">
      <c r="A14" s="6" t="s">
        <v>49</v>
      </c>
      <c r="B14" s="15"/>
      <c r="C14" s="13"/>
      <c r="D14" s="13"/>
      <c r="E14" s="21">
        <f>Design!B31</f>
        <v>269</v>
      </c>
      <c r="F14" s="6" t="s">
        <v>26</v>
      </c>
      <c r="G14" s="14">
        <f t="shared" si="0"/>
        <v>0</v>
      </c>
    </row>
    <row r="15" spans="1:7" ht="15.6" outlineLevel="2" thickTop="1" thickBot="1" x14ac:dyDescent="0.35">
      <c r="A15" s="6" t="s">
        <v>50</v>
      </c>
      <c r="B15" s="15"/>
      <c r="C15" s="13"/>
      <c r="D15" s="13"/>
      <c r="E15" s="21">
        <f>Design!B30</f>
        <v>1681.8831</v>
      </c>
      <c r="F15" s="6" t="s">
        <v>28</v>
      </c>
      <c r="G15" s="14">
        <f t="shared" si="0"/>
        <v>0</v>
      </c>
    </row>
    <row r="16" spans="1:7" ht="15.6" outlineLevel="2" thickTop="1" thickBot="1" x14ac:dyDescent="0.35">
      <c r="A16" s="6" t="s">
        <v>51</v>
      </c>
      <c r="B16" s="15"/>
      <c r="C16" s="13"/>
      <c r="D16" s="13"/>
      <c r="E16" s="21">
        <f>$E$13</f>
        <v>1790</v>
      </c>
      <c r="F16" s="6" t="s">
        <v>24</v>
      </c>
      <c r="G16" s="14">
        <f t="shared" si="0"/>
        <v>0</v>
      </c>
    </row>
    <row r="17" spans="1:7" ht="15.6" outlineLevel="2" thickTop="1" thickBot="1" x14ac:dyDescent="0.35">
      <c r="A17" s="6" t="s">
        <v>52</v>
      </c>
      <c r="B17" s="15"/>
      <c r="C17" s="13"/>
      <c r="D17" s="13"/>
      <c r="E17" s="21">
        <f>$E$13</f>
        <v>1790</v>
      </c>
      <c r="F17" s="6" t="s">
        <v>24</v>
      </c>
      <c r="G17" s="14">
        <f t="shared" si="0"/>
        <v>0</v>
      </c>
    </row>
    <row r="18" spans="1:7" ht="15.6" outlineLevel="2" thickTop="1" thickBot="1" x14ac:dyDescent="0.35">
      <c r="A18" s="6" t="s">
        <v>53</v>
      </c>
      <c r="B18" s="15"/>
      <c r="C18" s="13"/>
      <c r="D18" s="13"/>
      <c r="E18" s="21">
        <f>Design!B24+Design!B26</f>
        <v>62.42</v>
      </c>
      <c r="F18" s="6" t="s">
        <v>30</v>
      </c>
      <c r="G18" s="14">
        <f t="shared" si="0"/>
        <v>0</v>
      </c>
    </row>
    <row r="19" spans="1:7" ht="15" outlineLevel="2" thickTop="1" x14ac:dyDescent="0.3">
      <c r="A19" s="6" t="s">
        <v>54</v>
      </c>
      <c r="B19" s="15"/>
      <c r="C19" s="13"/>
      <c r="D19" s="13"/>
      <c r="E19" s="3"/>
      <c r="F19" s="6" t="s">
        <v>32</v>
      </c>
      <c r="G19" s="14">
        <f t="shared" si="0"/>
        <v>0</v>
      </c>
    </row>
    <row r="20" spans="1:7" outlineLevel="2" x14ac:dyDescent="0.3">
      <c r="A20" s="6" t="s">
        <v>55</v>
      </c>
      <c r="B20" s="15"/>
      <c r="C20" s="13"/>
      <c r="D20" s="13"/>
      <c r="E20" s="3"/>
      <c r="F20" s="6" t="s">
        <v>32</v>
      </c>
      <c r="G20" s="14">
        <f t="shared" si="0"/>
        <v>0</v>
      </c>
    </row>
    <row r="21" spans="1:7" ht="15" outlineLevel="2" thickBot="1" x14ac:dyDescent="0.35">
      <c r="A21" s="6" t="s">
        <v>56</v>
      </c>
      <c r="B21" s="15"/>
      <c r="C21" s="13"/>
      <c r="D21" s="13"/>
      <c r="E21" s="21">
        <f>$E$13</f>
        <v>1790</v>
      </c>
      <c r="F21" s="6" t="s">
        <v>24</v>
      </c>
      <c r="G21" s="14">
        <f t="shared" si="0"/>
        <v>0</v>
      </c>
    </row>
    <row r="22" spans="1:7" ht="15.6" outlineLevel="2" thickTop="1" thickBot="1" x14ac:dyDescent="0.35">
      <c r="A22" s="6" t="s">
        <v>57</v>
      </c>
      <c r="B22" s="17"/>
      <c r="C22" s="13"/>
      <c r="D22" s="13"/>
      <c r="E22" s="21" t="e">
        <f>Design!#REF!+Design!#REF!</f>
        <v>#REF!</v>
      </c>
      <c r="F22" s="6" t="s">
        <v>30</v>
      </c>
      <c r="G22" s="14" t="e">
        <f t="shared" si="0"/>
        <v>#REF!</v>
      </c>
    </row>
    <row r="23" spans="1:7" ht="15.6" outlineLevel="1" thickTop="1" thickBot="1" x14ac:dyDescent="0.35">
      <c r="A23" s="5" t="s">
        <v>58</v>
      </c>
      <c r="B23" s="5"/>
      <c r="C23" s="11">
        <f>SUBTOTAL(9,C24:C32)</f>
        <v>0</v>
      </c>
      <c r="D23" s="11">
        <f>SUBTOTAL(9,D24:D32)</f>
        <v>0</v>
      </c>
      <c r="E23" s="24" t="e">
        <f>$E$9</f>
        <v>#REF!</v>
      </c>
      <c r="F23" s="5" t="s">
        <v>94</v>
      </c>
      <c r="G23" s="14" t="e">
        <f>IF(E23=0,0,(C23+D23)/E23)</f>
        <v>#REF!</v>
      </c>
    </row>
    <row r="24" spans="1:7" ht="15.6" outlineLevel="2" thickTop="1" thickBot="1" x14ac:dyDescent="0.35">
      <c r="A24" s="6" t="s">
        <v>59</v>
      </c>
      <c r="B24" s="12"/>
      <c r="C24" s="13"/>
      <c r="D24" s="13"/>
      <c r="E24" s="21">
        <f t="shared" ref="E24:E31" si="1">$E$13</f>
        <v>1790</v>
      </c>
      <c r="F24" s="6" t="s">
        <v>24</v>
      </c>
      <c r="G24" s="14">
        <f t="shared" si="0"/>
        <v>0</v>
      </c>
    </row>
    <row r="25" spans="1:7" ht="15.6" outlineLevel="2" thickTop="1" thickBot="1" x14ac:dyDescent="0.35">
      <c r="A25" s="6" t="s">
        <v>60</v>
      </c>
      <c r="B25" s="15"/>
      <c r="C25" s="13"/>
      <c r="D25" s="13"/>
      <c r="E25" s="21">
        <f t="shared" si="1"/>
        <v>1790</v>
      </c>
      <c r="F25" s="6" t="s">
        <v>24</v>
      </c>
      <c r="G25" s="14">
        <f t="shared" si="0"/>
        <v>0</v>
      </c>
    </row>
    <row r="26" spans="1:7" ht="15.6" outlineLevel="2" thickTop="1" thickBot="1" x14ac:dyDescent="0.35">
      <c r="A26" s="6" t="s">
        <v>61</v>
      </c>
      <c r="B26" s="15"/>
      <c r="C26" s="13"/>
      <c r="D26" s="13"/>
      <c r="E26" s="21">
        <f t="shared" si="1"/>
        <v>1790</v>
      </c>
      <c r="F26" s="6" t="s">
        <v>24</v>
      </c>
      <c r="G26" s="14">
        <f t="shared" si="0"/>
        <v>0</v>
      </c>
    </row>
    <row r="27" spans="1:7" ht="15.6" outlineLevel="2" thickTop="1" thickBot="1" x14ac:dyDescent="0.35">
      <c r="A27" s="6" t="s">
        <v>62</v>
      </c>
      <c r="B27" s="15"/>
      <c r="C27" s="13"/>
      <c r="D27" s="13"/>
      <c r="E27" s="21">
        <f t="shared" si="1"/>
        <v>1790</v>
      </c>
      <c r="F27" s="6" t="s">
        <v>24</v>
      </c>
      <c r="G27" s="14">
        <f t="shared" si="0"/>
        <v>0</v>
      </c>
    </row>
    <row r="28" spans="1:7" ht="28.8" outlineLevel="2" thickTop="1" thickBot="1" x14ac:dyDescent="0.35">
      <c r="A28" s="6" t="s">
        <v>63</v>
      </c>
      <c r="B28" s="15"/>
      <c r="C28" s="13"/>
      <c r="D28" s="13"/>
      <c r="E28" s="21">
        <f t="shared" si="1"/>
        <v>1790</v>
      </c>
      <c r="F28" s="6" t="s">
        <v>24</v>
      </c>
      <c r="G28" s="14">
        <f t="shared" si="0"/>
        <v>0</v>
      </c>
    </row>
    <row r="29" spans="1:7" ht="15.6" outlineLevel="2" thickTop="1" thickBot="1" x14ac:dyDescent="0.35">
      <c r="A29" s="6" t="s">
        <v>64</v>
      </c>
      <c r="B29" s="15"/>
      <c r="C29" s="13"/>
      <c r="D29" s="13"/>
      <c r="E29" s="21">
        <f t="shared" si="1"/>
        <v>1790</v>
      </c>
      <c r="F29" s="6" t="s">
        <v>24</v>
      </c>
      <c r="G29" s="14">
        <f t="shared" si="0"/>
        <v>0</v>
      </c>
    </row>
    <row r="30" spans="1:7" ht="15" outlineLevel="2" thickTop="1" x14ac:dyDescent="0.3">
      <c r="A30" s="6" t="s">
        <v>65</v>
      </c>
      <c r="B30" s="15"/>
      <c r="C30" s="13"/>
      <c r="D30" s="13"/>
      <c r="E30" s="3"/>
      <c r="F30" s="6" t="s">
        <v>32</v>
      </c>
      <c r="G30" s="14">
        <f t="shared" si="0"/>
        <v>0</v>
      </c>
    </row>
    <row r="31" spans="1:7" ht="15" outlineLevel="2" thickBot="1" x14ac:dyDescent="0.35">
      <c r="A31" s="6" t="s">
        <v>66</v>
      </c>
      <c r="B31" s="17"/>
      <c r="C31" s="13"/>
      <c r="D31" s="13"/>
      <c r="E31" s="21">
        <f t="shared" si="1"/>
        <v>1790</v>
      </c>
      <c r="F31" s="6" t="s">
        <v>24</v>
      </c>
      <c r="G31" s="14">
        <f t="shared" si="0"/>
        <v>0</v>
      </c>
    </row>
    <row r="32" spans="1:7" ht="15.6" outlineLevel="1" thickTop="1" thickBot="1" x14ac:dyDescent="0.35">
      <c r="A32" s="5" t="s">
        <v>67</v>
      </c>
      <c r="B32" s="5"/>
      <c r="C32" s="11">
        <f>SUBTOTAL(9,C33:C39)</f>
        <v>0</v>
      </c>
      <c r="D32" s="11">
        <f>SUBTOTAL(9,D33:D39)</f>
        <v>0</v>
      </c>
      <c r="E32" s="24" t="e">
        <f>$E$9</f>
        <v>#REF!</v>
      </c>
      <c r="F32" s="5" t="s">
        <v>94</v>
      </c>
      <c r="G32" s="14" t="e">
        <f>IF(E32=0,0,(C32+D32)/E32)</f>
        <v>#REF!</v>
      </c>
    </row>
    <row r="33" spans="1:7" ht="15.6" outlineLevel="2" thickTop="1" thickBot="1" x14ac:dyDescent="0.35">
      <c r="A33" s="6" t="s">
        <v>68</v>
      </c>
      <c r="B33" s="12"/>
      <c r="C33" s="13"/>
      <c r="D33" s="13"/>
      <c r="E33" s="21">
        <f t="shared" ref="E33:E34" si="2">$E$13</f>
        <v>1790</v>
      </c>
      <c r="F33" s="6" t="s">
        <v>24</v>
      </c>
      <c r="G33" s="14">
        <f t="shared" si="0"/>
        <v>0</v>
      </c>
    </row>
    <row r="34" spans="1:7" ht="15.6" outlineLevel="2" thickTop="1" thickBot="1" x14ac:dyDescent="0.35">
      <c r="A34" s="6" t="s">
        <v>69</v>
      </c>
      <c r="B34" s="15"/>
      <c r="C34" s="13"/>
      <c r="D34" s="13"/>
      <c r="E34" s="21">
        <f t="shared" si="2"/>
        <v>1790</v>
      </c>
      <c r="F34" s="6" t="s">
        <v>24</v>
      </c>
      <c r="G34" s="14">
        <f t="shared" si="0"/>
        <v>0</v>
      </c>
    </row>
    <row r="35" spans="1:7" ht="15" outlineLevel="2" thickTop="1" x14ac:dyDescent="0.3">
      <c r="A35" s="6" t="s">
        <v>70</v>
      </c>
      <c r="B35" s="15"/>
      <c r="C35" s="13"/>
      <c r="D35" s="13"/>
      <c r="E35" s="10"/>
      <c r="F35" s="6" t="s">
        <v>37</v>
      </c>
      <c r="G35" s="14">
        <f t="shared" si="0"/>
        <v>0</v>
      </c>
    </row>
    <row r="36" spans="1:7" outlineLevel="2" x14ac:dyDescent="0.3">
      <c r="A36" s="6" t="s">
        <v>71</v>
      </c>
      <c r="B36" s="15"/>
      <c r="C36" s="13"/>
      <c r="D36" s="13"/>
      <c r="E36" s="3"/>
      <c r="F36" s="6" t="s">
        <v>37</v>
      </c>
      <c r="G36" s="14">
        <f t="shared" si="0"/>
        <v>0</v>
      </c>
    </row>
    <row r="37" spans="1:7" ht="15" outlineLevel="2" thickBot="1" x14ac:dyDescent="0.35">
      <c r="A37" s="6" t="s">
        <v>72</v>
      </c>
      <c r="B37" s="15"/>
      <c r="C37" s="13"/>
      <c r="D37" s="13"/>
      <c r="E37" s="21">
        <f t="shared" ref="E37:E38" si="3">$E$13</f>
        <v>1790</v>
      </c>
      <c r="F37" s="6" t="s">
        <v>24</v>
      </c>
      <c r="G37" s="14">
        <f t="shared" si="0"/>
        <v>0</v>
      </c>
    </row>
    <row r="38" spans="1:7" ht="15.6" outlineLevel="2" thickTop="1" thickBot="1" x14ac:dyDescent="0.35">
      <c r="A38" s="6" t="s">
        <v>73</v>
      </c>
      <c r="B38" s="17"/>
      <c r="C38" s="13"/>
      <c r="D38" s="13"/>
      <c r="E38" s="21">
        <f t="shared" si="3"/>
        <v>1790</v>
      </c>
      <c r="F38" s="6" t="s">
        <v>24</v>
      </c>
      <c r="G38" s="14">
        <f t="shared" si="0"/>
        <v>0</v>
      </c>
    </row>
    <row r="39" spans="1:7" ht="15.6" outlineLevel="1" thickTop="1" thickBot="1" x14ac:dyDescent="0.35">
      <c r="A39" s="5" t="s">
        <v>74</v>
      </c>
      <c r="B39" s="5"/>
      <c r="C39" s="11">
        <f>SUBTOTAL(9,C40:C44)</f>
        <v>0</v>
      </c>
      <c r="D39" s="11">
        <f>SUBTOTAL(9,D40:D44)</f>
        <v>0</v>
      </c>
      <c r="E39" s="24" t="e">
        <f>$E$9</f>
        <v>#REF!</v>
      </c>
      <c r="F39" s="5" t="s">
        <v>94</v>
      </c>
      <c r="G39" s="14" t="e">
        <f>IF(E39=0,0,(C39+D39)/E39)</f>
        <v>#REF!</v>
      </c>
    </row>
    <row r="40" spans="1:7" ht="15.6" outlineLevel="2" thickTop="1" thickBot="1" x14ac:dyDescent="0.35">
      <c r="A40" s="6" t="s">
        <v>75</v>
      </c>
      <c r="B40" s="12"/>
      <c r="C40" s="13"/>
      <c r="D40" s="13"/>
      <c r="E40" s="21">
        <f>Design!$B$9</f>
        <v>0</v>
      </c>
      <c r="F40" s="6" t="s">
        <v>39</v>
      </c>
      <c r="G40" s="14">
        <f t="shared" si="0"/>
        <v>0</v>
      </c>
    </row>
    <row r="41" spans="1:7" ht="15" outlineLevel="2" thickTop="1" x14ac:dyDescent="0.3">
      <c r="A41" s="6" t="s">
        <v>76</v>
      </c>
      <c r="B41" s="15"/>
      <c r="C41" s="13"/>
      <c r="D41" s="13"/>
      <c r="E41" s="3"/>
      <c r="F41" s="6" t="s">
        <v>40</v>
      </c>
      <c r="G41" s="14">
        <f t="shared" si="0"/>
        <v>0</v>
      </c>
    </row>
    <row r="42" spans="1:7" outlineLevel="2" x14ac:dyDescent="0.3">
      <c r="A42" s="6" t="s">
        <v>77</v>
      </c>
      <c r="B42" s="15"/>
      <c r="C42" s="13"/>
      <c r="D42" s="13"/>
      <c r="E42" s="3"/>
      <c r="F42" s="6" t="s">
        <v>41</v>
      </c>
      <c r="G42" s="14">
        <f t="shared" si="0"/>
        <v>0</v>
      </c>
    </row>
    <row r="43" spans="1:7" ht="15" outlineLevel="2" thickBot="1" x14ac:dyDescent="0.35">
      <c r="A43" s="6" t="s">
        <v>78</v>
      </c>
      <c r="B43" s="15"/>
      <c r="C43" s="13"/>
      <c r="D43" s="13"/>
      <c r="E43" s="21">
        <f>$E$40</f>
        <v>0</v>
      </c>
      <c r="F43" s="6" t="s">
        <v>39</v>
      </c>
      <c r="G43" s="14">
        <f t="shared" si="0"/>
        <v>0</v>
      </c>
    </row>
    <row r="44" spans="1:7" ht="15.6" outlineLevel="2" thickTop="1" thickBot="1" x14ac:dyDescent="0.35">
      <c r="A44" s="6" t="s">
        <v>79</v>
      </c>
      <c r="B44" s="15"/>
      <c r="C44" s="13"/>
      <c r="D44" s="13"/>
      <c r="E44" s="21">
        <f>$E$40</f>
        <v>0</v>
      </c>
      <c r="F44" s="6" t="s">
        <v>39</v>
      </c>
      <c r="G44" s="14">
        <f t="shared" si="0"/>
        <v>0</v>
      </c>
    </row>
    <row r="45" spans="1:7" ht="15" outlineLevel="1" thickTop="1" x14ac:dyDescent="0.3">
      <c r="A45" s="5" t="s">
        <v>80</v>
      </c>
      <c r="B45" s="15"/>
      <c r="C45" s="13"/>
      <c r="D45" s="13"/>
      <c r="E45" s="16">
        <f>SUBTOTAL(9,C11:D44)</f>
        <v>0</v>
      </c>
      <c r="F45" s="5" t="s">
        <v>97</v>
      </c>
      <c r="G45" s="18">
        <f>IF(E45=0,0,(C45+D45)/E45)</f>
        <v>0</v>
      </c>
    </row>
    <row r="46" spans="1:7" x14ac:dyDescent="0.3">
      <c r="A46" s="4" t="s">
        <v>88</v>
      </c>
      <c r="B46" s="4"/>
      <c r="C46" s="11">
        <f>SUBTOTAL(9,C48:C49)</f>
        <v>0</v>
      </c>
      <c r="D46" s="11">
        <f>SUBTOTAL(9,D48:D49)</f>
        <v>0</v>
      </c>
      <c r="E46" s="1"/>
      <c r="F46" s="8" t="s">
        <v>90</v>
      </c>
      <c r="G46" s="18">
        <f>IF(SUM(C9:D9)=0,0,SUM(C46:D46)/SUM(C9:D9))</f>
        <v>0</v>
      </c>
    </row>
    <row r="47" spans="1:7" x14ac:dyDescent="0.3">
      <c r="A47" s="4"/>
      <c r="B47" s="4"/>
      <c r="C47" s="8"/>
      <c r="D47" s="18">
        <f>IF(C46=0,0,D46/C46)</f>
        <v>0</v>
      </c>
      <c r="E47" s="1"/>
      <c r="F47" s="1"/>
      <c r="G47" s="1"/>
    </row>
    <row r="48" spans="1:7" outlineLevel="1" x14ac:dyDescent="0.3">
      <c r="A48" s="5" t="s">
        <v>89</v>
      </c>
      <c r="B48" s="5"/>
      <c r="C48" s="13"/>
      <c r="D48" s="13"/>
      <c r="E48" s="86"/>
      <c r="F48" s="86"/>
      <c r="G48" s="86"/>
    </row>
    <row r="49" spans="1:7" outlineLevel="1" x14ac:dyDescent="0.3">
      <c r="A49" s="5" t="s">
        <v>91</v>
      </c>
      <c r="B49" s="5"/>
      <c r="C49" s="13"/>
      <c r="D49" s="13"/>
      <c r="E49" s="86"/>
      <c r="F49" s="86"/>
      <c r="G49" s="86"/>
    </row>
  </sheetData>
  <mergeCells count="3">
    <mergeCell ref="C2:D2"/>
    <mergeCell ref="E48:G48"/>
    <mergeCell ref="E49:G49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5C49-DAF7-4079-B835-86D870655B08}">
  <dimension ref="A1:I42"/>
  <sheetViews>
    <sheetView topLeftCell="A17" workbookViewId="0">
      <selection activeCell="B45" sqref="B45"/>
    </sheetView>
  </sheetViews>
  <sheetFormatPr defaultRowHeight="14.4" x14ac:dyDescent="0.3"/>
  <cols>
    <col min="1" max="1" width="13.21875" customWidth="1"/>
    <col min="2" max="2" width="15" customWidth="1"/>
    <col min="3" max="3" width="12.77734375" customWidth="1"/>
    <col min="5" max="5" width="11.109375" customWidth="1"/>
    <col min="7" max="7" width="10.5546875" customWidth="1"/>
  </cols>
  <sheetData>
    <row r="1" spans="1:9" ht="15" thickBot="1" x14ac:dyDescent="0.35">
      <c r="A1" s="2" t="s">
        <v>92</v>
      </c>
      <c r="B1" s="20" t="str">
        <f>IF(Design!B1="","",Design!B1)</f>
        <v>[E]#T Toren</v>
      </c>
    </row>
    <row r="2" spans="1:9" ht="15" thickTop="1" x14ac:dyDescent="0.3"/>
    <row r="3" spans="1:9" x14ac:dyDescent="0.3">
      <c r="A3" t="s">
        <v>122</v>
      </c>
      <c r="B3" t="s">
        <v>123</v>
      </c>
      <c r="C3" s="50">
        <f>0.33+11.44+5.63</f>
        <v>17.399999999999999</v>
      </c>
      <c r="D3" s="50">
        <v>10.73</v>
      </c>
      <c r="E3" s="49">
        <f>C3*D3</f>
        <v>186.702</v>
      </c>
      <c r="G3" t="s">
        <v>124</v>
      </c>
      <c r="I3" s="50">
        <v>74.010000000000005</v>
      </c>
    </row>
    <row r="35" spans="1:5" x14ac:dyDescent="0.3">
      <c r="A35" t="s">
        <v>116</v>
      </c>
      <c r="B35" t="s">
        <v>131</v>
      </c>
      <c r="C35" t="s">
        <v>132</v>
      </c>
      <c r="D35" t="s">
        <v>133</v>
      </c>
      <c r="E35" t="s">
        <v>206</v>
      </c>
    </row>
    <row r="36" spans="1:5" x14ac:dyDescent="0.3">
      <c r="A36" t="s">
        <v>125</v>
      </c>
      <c r="B36" s="53">
        <f>62.46+9.91</f>
        <v>72.37</v>
      </c>
      <c r="C36" s="51">
        <f t="shared" ref="C36:C41" si="0">E37-E36</f>
        <v>4.4800000000000004</v>
      </c>
      <c r="D36" s="51">
        <f>C36*B36</f>
        <v>324.21760000000006</v>
      </c>
      <c r="E36" s="52"/>
    </row>
    <row r="37" spans="1:5" x14ac:dyDescent="0.3">
      <c r="A37" t="s">
        <v>126</v>
      </c>
      <c r="B37" s="53">
        <v>69.930000000000007</v>
      </c>
      <c r="C37" s="51">
        <f t="shared" si="0"/>
        <v>3.9599999999999991</v>
      </c>
      <c r="D37" s="51">
        <f t="shared" ref="D37:D41" si="1">C37*B37</f>
        <v>276.92279999999994</v>
      </c>
      <c r="E37" s="53">
        <v>4.4800000000000004</v>
      </c>
    </row>
    <row r="38" spans="1:5" x14ac:dyDescent="0.3">
      <c r="A38" t="s">
        <v>127</v>
      </c>
      <c r="B38" s="53">
        <v>63.56</v>
      </c>
      <c r="C38" s="51">
        <f t="shared" si="0"/>
        <v>3.9600000000000009</v>
      </c>
      <c r="D38" s="51">
        <f t="shared" si="1"/>
        <v>251.69760000000005</v>
      </c>
      <c r="E38" s="53">
        <v>8.44</v>
      </c>
    </row>
    <row r="39" spans="1:5" x14ac:dyDescent="0.3">
      <c r="A39" t="s">
        <v>128</v>
      </c>
      <c r="B39" s="53">
        <v>64.05</v>
      </c>
      <c r="C39" s="51">
        <f t="shared" si="0"/>
        <v>3.9599999999999991</v>
      </c>
      <c r="D39" s="51">
        <f t="shared" si="1"/>
        <v>253.63799999999992</v>
      </c>
      <c r="E39" s="53">
        <v>12.4</v>
      </c>
    </row>
    <row r="40" spans="1:5" x14ac:dyDescent="0.3">
      <c r="A40" t="s">
        <v>129</v>
      </c>
      <c r="B40" s="53">
        <v>64.05</v>
      </c>
      <c r="C40" s="51">
        <f t="shared" si="0"/>
        <v>3.9600000000000009</v>
      </c>
      <c r="D40" s="51">
        <f t="shared" si="1"/>
        <v>253.63800000000003</v>
      </c>
      <c r="E40" s="53">
        <v>16.36</v>
      </c>
    </row>
    <row r="41" spans="1:5" x14ac:dyDescent="0.3">
      <c r="A41" t="s">
        <v>130</v>
      </c>
      <c r="B41" s="53">
        <v>63.97</v>
      </c>
      <c r="C41" s="51">
        <f t="shared" si="0"/>
        <v>5.0300000000000011</v>
      </c>
      <c r="D41" s="51">
        <f t="shared" si="1"/>
        <v>321.76910000000009</v>
      </c>
      <c r="E41" s="53">
        <v>20.32</v>
      </c>
    </row>
    <row r="42" spans="1:5" x14ac:dyDescent="0.3">
      <c r="A42" t="s">
        <v>207</v>
      </c>
      <c r="C42" s="52"/>
      <c r="E42" s="53">
        <v>25.35</v>
      </c>
    </row>
  </sheetData>
  <phoneticPr fontId="15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25F6-06D9-4A0E-A313-49E87BB4F6FB}">
  <dimension ref="A1:J60"/>
  <sheetViews>
    <sheetView tabSelected="1" workbookViewId="0">
      <selection activeCell="J65" sqref="J65"/>
    </sheetView>
  </sheetViews>
  <sheetFormatPr defaultRowHeight="14.4" outlineLevelRow="1" x14ac:dyDescent="0.3"/>
  <cols>
    <col min="1" max="1" width="14.6640625" bestFit="1" customWidth="1"/>
    <col min="2" max="2" width="16.5546875" bestFit="1" customWidth="1"/>
    <col min="3" max="3" width="19" bestFit="1" customWidth="1"/>
    <col min="4" max="7" width="20.77734375" customWidth="1"/>
  </cols>
  <sheetData>
    <row r="1" spans="1:7" ht="15" thickBot="1" x14ac:dyDescent="0.35"/>
    <row r="2" spans="1:7" ht="26.4" thickBot="1" x14ac:dyDescent="0.55000000000000004">
      <c r="A2" s="56" t="s">
        <v>181</v>
      </c>
      <c r="D2" s="59">
        <f>D5+D39+D21</f>
        <v>2008</v>
      </c>
      <c r="E2" s="59">
        <f>E5+E39+E21</f>
        <v>1785</v>
      </c>
      <c r="F2" s="59">
        <f>F5+F39+F21</f>
        <v>1969</v>
      </c>
      <c r="G2" s="63">
        <f>SUM(D2:F2)</f>
        <v>5762</v>
      </c>
    </row>
    <row r="3" spans="1:7" x14ac:dyDescent="0.3">
      <c r="D3" s="60" t="s">
        <v>164</v>
      </c>
      <c r="E3" s="60" t="s">
        <v>165</v>
      </c>
      <c r="F3" s="60" t="s">
        <v>166</v>
      </c>
      <c r="G3" s="72" t="s">
        <v>176</v>
      </c>
    </row>
    <row r="4" spans="1:7" ht="15" thickBot="1" x14ac:dyDescent="0.35"/>
    <row r="5" spans="1:7" ht="26.4" thickBot="1" x14ac:dyDescent="0.55000000000000004">
      <c r="A5" s="56" t="s">
        <v>182</v>
      </c>
      <c r="D5" s="59">
        <f>SUBTOTAL(9,D7:D19)</f>
        <v>1790</v>
      </c>
      <c r="E5" s="59">
        <f>SUBTOTAL(9,E7:E19)</f>
        <v>1722</v>
      </c>
      <c r="F5" s="59">
        <f>SUBTOTAL(9,F7:F19)</f>
        <v>1927</v>
      </c>
      <c r="G5" s="63">
        <f>SUM(D5:F5)</f>
        <v>5439</v>
      </c>
    </row>
    <row r="6" spans="1:7" ht="15" hidden="1" outlineLevel="1" thickBot="1" x14ac:dyDescent="0.35">
      <c r="D6" s="60" t="s">
        <v>164</v>
      </c>
      <c r="E6" s="60" t="s">
        <v>165</v>
      </c>
      <c r="F6" s="60" t="s">
        <v>166</v>
      </c>
    </row>
    <row r="7" spans="1:7" ht="15" hidden="1" outlineLevel="1" thickBot="1" x14ac:dyDescent="0.35">
      <c r="B7" s="60" t="s">
        <v>160</v>
      </c>
      <c r="G7" s="63">
        <f>SUM(G8:G14)</f>
        <v>2857</v>
      </c>
    </row>
    <row r="8" spans="1:7" hidden="1" outlineLevel="1" x14ac:dyDescent="0.3">
      <c r="C8" t="s">
        <v>162</v>
      </c>
      <c r="D8" s="58">
        <v>458</v>
      </c>
      <c r="E8" s="58"/>
      <c r="G8" s="62">
        <f>SUBTOTAL(9,D8:F8)</f>
        <v>458</v>
      </c>
    </row>
    <row r="9" spans="1:7" hidden="1" outlineLevel="1" x14ac:dyDescent="0.3">
      <c r="C9" t="s">
        <v>163</v>
      </c>
      <c r="D9" s="58">
        <v>222</v>
      </c>
      <c r="E9" s="58"/>
      <c r="G9" s="59">
        <f t="shared" ref="G9:G14" si="0">SUBTOTAL(9,D9:F9)</f>
        <v>222</v>
      </c>
    </row>
    <row r="10" spans="1:7" hidden="1" outlineLevel="1" x14ac:dyDescent="0.3">
      <c r="C10" t="s">
        <v>167</v>
      </c>
      <c r="D10" s="58">
        <f>242+14</f>
        <v>256</v>
      </c>
      <c r="E10" s="61">
        <v>438</v>
      </c>
      <c r="G10" s="59">
        <f t="shared" si="0"/>
        <v>694</v>
      </c>
    </row>
    <row r="11" spans="1:7" hidden="1" outlineLevel="1" x14ac:dyDescent="0.3">
      <c r="C11" t="s">
        <v>168</v>
      </c>
      <c r="D11" s="58">
        <v>261</v>
      </c>
      <c r="E11" s="58">
        <v>629</v>
      </c>
      <c r="G11" s="59">
        <f t="shared" si="0"/>
        <v>890</v>
      </c>
    </row>
    <row r="12" spans="1:7" hidden="1" outlineLevel="1" x14ac:dyDescent="0.3">
      <c r="C12" t="s">
        <v>169</v>
      </c>
      <c r="D12" s="58">
        <v>112</v>
      </c>
      <c r="E12" s="58"/>
      <c r="G12" s="59">
        <f t="shared" si="0"/>
        <v>112</v>
      </c>
    </row>
    <row r="13" spans="1:7" hidden="1" outlineLevel="1" x14ac:dyDescent="0.3">
      <c r="C13" t="s">
        <v>170</v>
      </c>
      <c r="D13" s="58">
        <v>255</v>
      </c>
      <c r="E13" s="58"/>
      <c r="G13" s="59">
        <f t="shared" si="0"/>
        <v>255</v>
      </c>
    </row>
    <row r="14" spans="1:7" ht="15" hidden="1" outlineLevel="1" thickBot="1" x14ac:dyDescent="0.35">
      <c r="C14" t="s">
        <v>171</v>
      </c>
      <c r="D14" s="58">
        <v>226</v>
      </c>
      <c r="E14" s="58"/>
      <c r="G14" s="59">
        <f t="shared" si="0"/>
        <v>226</v>
      </c>
    </row>
    <row r="15" spans="1:7" ht="15" hidden="1" outlineLevel="1" thickBot="1" x14ac:dyDescent="0.35">
      <c r="B15" s="60" t="s">
        <v>161</v>
      </c>
      <c r="D15" s="57"/>
      <c r="E15" s="57"/>
      <c r="F15" s="57"/>
      <c r="G15" s="63">
        <f>SUM(G16:G19)</f>
        <v>2582</v>
      </c>
    </row>
    <row r="16" spans="1:7" hidden="1" outlineLevel="1" x14ac:dyDescent="0.3">
      <c r="C16" t="s">
        <v>162</v>
      </c>
      <c r="D16" s="57"/>
      <c r="E16" s="58">
        <v>40</v>
      </c>
      <c r="F16" s="58">
        <v>629</v>
      </c>
      <c r="G16" s="62">
        <f>SUBTOTAL(9,D16:F16)</f>
        <v>669</v>
      </c>
    </row>
    <row r="17" spans="1:10" hidden="1" outlineLevel="1" x14ac:dyDescent="0.3">
      <c r="C17" t="s">
        <v>163</v>
      </c>
      <c r="D17" s="57"/>
      <c r="E17" s="58">
        <v>615</v>
      </c>
      <c r="F17" s="58">
        <v>629</v>
      </c>
      <c r="G17" s="59">
        <f t="shared" ref="G17:G19" si="1">SUBTOTAL(9,D17:F17)</f>
        <v>1244</v>
      </c>
    </row>
    <row r="18" spans="1:10" hidden="1" outlineLevel="1" x14ac:dyDescent="0.3">
      <c r="C18" t="s">
        <v>167</v>
      </c>
      <c r="D18" s="57"/>
      <c r="E18" s="58"/>
      <c r="F18" s="58">
        <v>622</v>
      </c>
      <c r="G18" s="59">
        <f t="shared" si="1"/>
        <v>622</v>
      </c>
    </row>
    <row r="19" spans="1:10" hidden="1" outlineLevel="1" x14ac:dyDescent="0.3">
      <c r="C19" t="s">
        <v>168</v>
      </c>
      <c r="D19" s="57"/>
      <c r="E19" s="58"/>
      <c r="F19" s="58">
        <v>47</v>
      </c>
      <c r="G19" s="59">
        <f t="shared" si="1"/>
        <v>47</v>
      </c>
    </row>
    <row r="20" spans="1:10" ht="15" hidden="1" outlineLevel="1" thickBot="1" x14ac:dyDescent="0.35">
      <c r="D20" s="57"/>
      <c r="E20" s="57"/>
      <c r="F20" s="57"/>
      <c r="G20" s="57"/>
      <c r="H20" s="57"/>
    </row>
    <row r="21" spans="1:10" ht="26.4" collapsed="1" thickBot="1" x14ac:dyDescent="0.55000000000000004">
      <c r="A21" s="56" t="s">
        <v>183</v>
      </c>
      <c r="D21" s="59">
        <f>SUBTOTAL(9,D24:D37)</f>
        <v>156</v>
      </c>
      <c r="E21" s="59">
        <f>SUBTOTAL(9,E24:E37)</f>
        <v>10</v>
      </c>
      <c r="F21" s="59">
        <f>SUBTOTAL(9,F24:F37)</f>
        <v>42</v>
      </c>
      <c r="G21" s="63">
        <f>SUM(D21:F21)</f>
        <v>208</v>
      </c>
    </row>
    <row r="22" spans="1:10" s="67" customFormat="1" ht="26.4" thickBot="1" x14ac:dyDescent="0.35">
      <c r="A22" s="66"/>
      <c r="C22" s="68" t="s">
        <v>172</v>
      </c>
      <c r="D22" s="69">
        <f>D21/D5</f>
        <v>8.7150837988826821E-2</v>
      </c>
      <c r="E22" s="69">
        <f>E21/E5</f>
        <v>5.8072009291521487E-3</v>
      </c>
      <c r="F22" s="69">
        <f>F21/F5</f>
        <v>2.1795537104307212E-2</v>
      </c>
      <c r="G22" s="69">
        <f>G21/G5</f>
        <v>3.8242323956609668E-2</v>
      </c>
      <c r="J22" s="70"/>
    </row>
    <row r="23" spans="1:10" ht="15" hidden="1" outlineLevel="1" thickBot="1" x14ac:dyDescent="0.35">
      <c r="D23" s="60" t="s">
        <v>164</v>
      </c>
      <c r="E23" s="60" t="s">
        <v>165</v>
      </c>
      <c r="F23" s="60" t="s">
        <v>166</v>
      </c>
    </row>
    <row r="24" spans="1:10" ht="15" hidden="1" outlineLevel="1" thickBot="1" x14ac:dyDescent="0.35">
      <c r="B24" s="60" t="s">
        <v>160</v>
      </c>
      <c r="G24" s="63">
        <f>SUM(G25:G31)</f>
        <v>162</v>
      </c>
    </row>
    <row r="25" spans="1:10" hidden="1" outlineLevel="1" x14ac:dyDescent="0.3">
      <c r="C25" t="s">
        <v>162</v>
      </c>
      <c r="D25" s="58"/>
      <c r="E25" s="58"/>
      <c r="G25" s="62">
        <f>SUBTOTAL(9,D25:F25)</f>
        <v>0</v>
      </c>
    </row>
    <row r="26" spans="1:10" hidden="1" outlineLevel="1" x14ac:dyDescent="0.3">
      <c r="C26" t="s">
        <v>163</v>
      </c>
      <c r="D26" s="58"/>
      <c r="E26" s="58"/>
      <c r="G26" s="59">
        <f t="shared" ref="G26:G31" si="2">SUBTOTAL(9,D26:F26)</f>
        <v>0</v>
      </c>
    </row>
    <row r="27" spans="1:10" hidden="1" outlineLevel="1" x14ac:dyDescent="0.3">
      <c r="C27" t="s">
        <v>167</v>
      </c>
      <c r="D27" s="58">
        <v>13</v>
      </c>
      <c r="E27" s="61"/>
      <c r="G27" s="59">
        <f t="shared" si="2"/>
        <v>13</v>
      </c>
    </row>
    <row r="28" spans="1:10" hidden="1" outlineLevel="1" x14ac:dyDescent="0.3">
      <c r="C28" t="s">
        <v>168</v>
      </c>
      <c r="D28" s="58"/>
      <c r="E28" s="58">
        <v>4</v>
      </c>
      <c r="G28" s="59">
        <f t="shared" si="2"/>
        <v>4</v>
      </c>
    </row>
    <row r="29" spans="1:10" hidden="1" outlineLevel="1" x14ac:dyDescent="0.3">
      <c r="C29" t="s">
        <v>169</v>
      </c>
      <c r="D29" s="58">
        <v>143</v>
      </c>
      <c r="E29" s="58">
        <v>2</v>
      </c>
      <c r="G29" s="59">
        <f t="shared" si="2"/>
        <v>145</v>
      </c>
    </row>
    <row r="30" spans="1:10" hidden="1" outlineLevel="1" x14ac:dyDescent="0.3">
      <c r="C30" t="s">
        <v>170</v>
      </c>
      <c r="D30" s="58"/>
      <c r="E30" s="58"/>
      <c r="G30" s="59">
        <f t="shared" si="2"/>
        <v>0</v>
      </c>
    </row>
    <row r="31" spans="1:10" ht="15" hidden="1" outlineLevel="1" thickBot="1" x14ac:dyDescent="0.35">
      <c r="C31" t="s">
        <v>171</v>
      </c>
      <c r="D31" s="58"/>
      <c r="E31" s="58"/>
      <c r="G31" s="59">
        <f t="shared" si="2"/>
        <v>0</v>
      </c>
    </row>
    <row r="32" spans="1:10" ht="15" hidden="1" outlineLevel="1" thickBot="1" x14ac:dyDescent="0.35">
      <c r="B32" s="60" t="s">
        <v>161</v>
      </c>
      <c r="D32" s="57"/>
      <c r="E32" s="57"/>
      <c r="F32" s="57"/>
      <c r="G32" s="63">
        <f>SUM(G33:G37)</f>
        <v>46</v>
      </c>
    </row>
    <row r="33" spans="1:10" hidden="1" outlineLevel="1" x14ac:dyDescent="0.3">
      <c r="C33" t="s">
        <v>162</v>
      </c>
      <c r="D33" s="57"/>
      <c r="E33" s="58"/>
      <c r="F33" s="58"/>
      <c r="G33" s="62">
        <f>SUBTOTAL(9,D33:F33)</f>
        <v>0</v>
      </c>
    </row>
    <row r="34" spans="1:10" hidden="1" outlineLevel="1" x14ac:dyDescent="0.3">
      <c r="C34" t="s">
        <v>163</v>
      </c>
      <c r="D34" s="57"/>
      <c r="E34" s="58">
        <v>4</v>
      </c>
      <c r="F34" s="58"/>
      <c r="G34" s="59">
        <f t="shared" ref="G34:G37" si="3">SUBTOTAL(9,D34:F34)</f>
        <v>4</v>
      </c>
    </row>
    <row r="35" spans="1:10" hidden="1" outlineLevel="1" x14ac:dyDescent="0.3">
      <c r="C35" t="s">
        <v>167</v>
      </c>
      <c r="D35" s="57"/>
      <c r="E35" s="58"/>
      <c r="F35" s="58">
        <v>3</v>
      </c>
      <c r="G35" s="59">
        <f t="shared" si="3"/>
        <v>3</v>
      </c>
    </row>
    <row r="36" spans="1:10" hidden="1" outlineLevel="1" x14ac:dyDescent="0.3">
      <c r="C36" t="s">
        <v>168</v>
      </c>
      <c r="D36" s="57"/>
      <c r="E36" s="58"/>
      <c r="F36" s="58">
        <v>39</v>
      </c>
      <c r="G36" s="59">
        <f t="shared" si="3"/>
        <v>39</v>
      </c>
    </row>
    <row r="37" spans="1:10" hidden="1" outlineLevel="1" x14ac:dyDescent="0.3">
      <c r="C37" t="s">
        <v>169</v>
      </c>
      <c r="D37" s="57"/>
      <c r="E37" s="58"/>
      <c r="F37" s="58"/>
      <c r="G37" s="59">
        <f t="shared" si="3"/>
        <v>0</v>
      </c>
    </row>
    <row r="38" spans="1:10" ht="15" hidden="1" outlineLevel="1" thickBot="1" x14ac:dyDescent="0.35"/>
    <row r="39" spans="1:10" ht="26.4" collapsed="1" thickBot="1" x14ac:dyDescent="0.55000000000000004">
      <c r="A39" s="56" t="s">
        <v>184</v>
      </c>
      <c r="D39" s="59">
        <f>SUBTOTAL(9,D42:D55)</f>
        <v>62</v>
      </c>
      <c r="E39" s="59">
        <f>SUBTOTAL(9,E42:E55)</f>
        <v>53</v>
      </c>
      <c r="F39" s="59">
        <f>SUBTOTAL(9,F42:F55)</f>
        <v>0</v>
      </c>
      <c r="G39" s="63">
        <f>SUM(D39:F39)</f>
        <v>115</v>
      </c>
    </row>
    <row r="40" spans="1:10" s="67" customFormat="1" ht="26.4" thickBot="1" x14ac:dyDescent="0.35">
      <c r="A40" s="66"/>
      <c r="C40" s="68" t="s">
        <v>172</v>
      </c>
      <c r="D40" s="69">
        <f>D39/D5</f>
        <v>3.4636871508379886E-2</v>
      </c>
      <c r="E40" s="69">
        <f>E39/E5</f>
        <v>3.0778164924506388E-2</v>
      </c>
      <c r="F40" s="69">
        <f>F39/F5</f>
        <v>0</v>
      </c>
      <c r="G40" s="69">
        <f>G39/G5</f>
        <v>2.1143592572163999E-2</v>
      </c>
      <c r="J40" s="70"/>
    </row>
    <row r="41" spans="1:10" ht="15" hidden="1" outlineLevel="1" thickBot="1" x14ac:dyDescent="0.35">
      <c r="D41" s="60" t="s">
        <v>164</v>
      </c>
      <c r="E41" s="60" t="s">
        <v>165</v>
      </c>
      <c r="F41" s="60" t="s">
        <v>166</v>
      </c>
    </row>
    <row r="42" spans="1:10" ht="15" hidden="1" outlineLevel="1" thickBot="1" x14ac:dyDescent="0.35">
      <c r="B42" s="60" t="s">
        <v>160</v>
      </c>
      <c r="G42" s="63">
        <f>SUM(G43:G49)</f>
        <v>90</v>
      </c>
    </row>
    <row r="43" spans="1:10" hidden="1" outlineLevel="1" x14ac:dyDescent="0.3">
      <c r="C43" t="s">
        <v>162</v>
      </c>
      <c r="D43" s="58"/>
      <c r="E43" s="58"/>
      <c r="G43" s="62">
        <f>SUBTOTAL(9,D43:F43)</f>
        <v>0</v>
      </c>
    </row>
    <row r="44" spans="1:10" hidden="1" outlineLevel="1" x14ac:dyDescent="0.3">
      <c r="C44" t="s">
        <v>163</v>
      </c>
      <c r="D44" s="58">
        <f>33</f>
        <v>33</v>
      </c>
      <c r="E44" s="58"/>
      <c r="G44" s="59">
        <f t="shared" ref="G44:G49" si="4">SUBTOTAL(9,D44:F44)</f>
        <v>33</v>
      </c>
    </row>
    <row r="45" spans="1:10" hidden="1" outlineLevel="1" x14ac:dyDescent="0.3">
      <c r="C45" t="s">
        <v>167</v>
      </c>
      <c r="D45" s="58"/>
      <c r="E45" s="61"/>
      <c r="G45" s="59">
        <f t="shared" si="4"/>
        <v>0</v>
      </c>
    </row>
    <row r="46" spans="1:10" hidden="1" outlineLevel="1" x14ac:dyDescent="0.3">
      <c r="C46" t="s">
        <v>168</v>
      </c>
      <c r="D46" s="58"/>
      <c r="E46" s="58">
        <v>12</v>
      </c>
      <c r="G46" s="59">
        <f t="shared" si="4"/>
        <v>12</v>
      </c>
    </row>
    <row r="47" spans="1:10" hidden="1" outlineLevel="1" x14ac:dyDescent="0.3">
      <c r="C47" t="s">
        <v>169</v>
      </c>
      <c r="D47" s="58"/>
      <c r="E47" s="58">
        <f>16</f>
        <v>16</v>
      </c>
      <c r="G47" s="59">
        <f t="shared" si="4"/>
        <v>16</v>
      </c>
    </row>
    <row r="48" spans="1:10" hidden="1" outlineLevel="1" x14ac:dyDescent="0.3">
      <c r="C48" t="s">
        <v>170</v>
      </c>
      <c r="D48" s="58">
        <v>29</v>
      </c>
      <c r="E48" s="58"/>
      <c r="G48" s="59">
        <f t="shared" si="4"/>
        <v>29</v>
      </c>
    </row>
    <row r="49" spans="1:10" ht="15" hidden="1" outlineLevel="1" thickBot="1" x14ac:dyDescent="0.35">
      <c r="C49" t="s">
        <v>171</v>
      </c>
      <c r="D49" s="58"/>
      <c r="E49" s="58"/>
      <c r="G49" s="59">
        <f t="shared" si="4"/>
        <v>0</v>
      </c>
    </row>
    <row r="50" spans="1:10" ht="15" hidden="1" outlineLevel="1" thickBot="1" x14ac:dyDescent="0.35">
      <c r="B50" s="60" t="s">
        <v>161</v>
      </c>
      <c r="D50" s="57"/>
      <c r="E50" s="57"/>
      <c r="F50" s="57"/>
      <c r="G50" s="63">
        <f>SUM(G51:G55)</f>
        <v>25</v>
      </c>
    </row>
    <row r="51" spans="1:10" hidden="1" outlineLevel="1" x14ac:dyDescent="0.3">
      <c r="C51" t="s">
        <v>162</v>
      </c>
      <c r="D51" s="57"/>
      <c r="E51" s="58"/>
      <c r="F51" s="58"/>
      <c r="G51" s="62">
        <f>SUBTOTAL(9,D51:F51)</f>
        <v>0</v>
      </c>
    </row>
    <row r="52" spans="1:10" hidden="1" outlineLevel="1" x14ac:dyDescent="0.3">
      <c r="C52" t="s">
        <v>163</v>
      </c>
      <c r="D52" s="57"/>
      <c r="E52" s="58">
        <f>11+14</f>
        <v>25</v>
      </c>
      <c r="F52" s="58"/>
      <c r="G52" s="59">
        <f t="shared" ref="G52:G55" si="5">SUBTOTAL(9,D52:F52)</f>
        <v>25</v>
      </c>
    </row>
    <row r="53" spans="1:10" hidden="1" outlineLevel="1" x14ac:dyDescent="0.3">
      <c r="C53" t="s">
        <v>167</v>
      </c>
      <c r="D53" s="57"/>
      <c r="E53" s="58"/>
      <c r="F53" s="58"/>
      <c r="G53" s="59">
        <f t="shared" si="5"/>
        <v>0</v>
      </c>
    </row>
    <row r="54" spans="1:10" hidden="1" outlineLevel="1" x14ac:dyDescent="0.3">
      <c r="C54" t="s">
        <v>168</v>
      </c>
      <c r="D54" s="57"/>
      <c r="E54" s="58"/>
      <c r="F54" s="58"/>
      <c r="G54" s="59">
        <f t="shared" si="5"/>
        <v>0</v>
      </c>
    </row>
    <row r="55" spans="1:10" hidden="1" outlineLevel="1" x14ac:dyDescent="0.3">
      <c r="C55" t="s">
        <v>169</v>
      </c>
      <c r="D55" s="57"/>
      <c r="E55" s="58"/>
      <c r="F55" s="58"/>
      <c r="G55" s="59">
        <f t="shared" si="5"/>
        <v>0</v>
      </c>
    </row>
    <row r="56" spans="1:10" ht="15" hidden="1" outlineLevel="1" thickBot="1" x14ac:dyDescent="0.35"/>
    <row r="57" spans="1:10" ht="26.4" collapsed="1" thickBot="1" x14ac:dyDescent="0.55000000000000004">
      <c r="A57" s="56" t="s">
        <v>185</v>
      </c>
      <c r="D57" s="64">
        <f>Design!B30</f>
        <v>1681.8831</v>
      </c>
      <c r="E57" s="64">
        <f>[1]Design!$B$31+[1]Design!$B$50</f>
        <v>889.08087999999998</v>
      </c>
      <c r="F57" s="64">
        <f>[2]Design!$B$30</f>
        <v>1165.9132</v>
      </c>
      <c r="G57" s="63">
        <f>SUM(D57:F57)</f>
        <v>3736.87718</v>
      </c>
    </row>
    <row r="58" spans="1:10" s="67" customFormat="1" ht="27" thickTop="1" thickBot="1" x14ac:dyDescent="0.35">
      <c r="A58" s="66"/>
      <c r="C58" s="68" t="s">
        <v>174</v>
      </c>
      <c r="D58" s="71">
        <f>D57/D5</f>
        <v>0.93959949720670388</v>
      </c>
      <c r="E58" s="71">
        <f>E57/E5</f>
        <v>0.51630713124274097</v>
      </c>
      <c r="F58" s="71">
        <f>F57/F5</f>
        <v>0.6050405812143228</v>
      </c>
      <c r="G58" s="71">
        <f>G57/G5</f>
        <v>0.68705224857510572</v>
      </c>
      <c r="J58" s="70"/>
    </row>
    <row r="59" spans="1:10" ht="26.4" collapsed="1" thickBot="1" x14ac:dyDescent="0.55000000000000004">
      <c r="A59" s="56" t="s">
        <v>186</v>
      </c>
      <c r="D59" s="64">
        <f>Design!B31</f>
        <v>269</v>
      </c>
      <c r="E59" s="64">
        <f>[1]Design!$B$32</f>
        <v>781</v>
      </c>
      <c r="F59" s="64">
        <f>[3]Design!$B$31</f>
        <v>633</v>
      </c>
      <c r="G59" s="63">
        <f>SUM(D59:F59)</f>
        <v>1683</v>
      </c>
    </row>
    <row r="60" spans="1:10" s="67" customFormat="1" ht="26.4" thickTop="1" x14ac:dyDescent="0.3">
      <c r="A60" s="66"/>
      <c r="C60" s="68" t="s">
        <v>175</v>
      </c>
      <c r="D60" s="71">
        <f>D59/D5</f>
        <v>0.15027932960893856</v>
      </c>
      <c r="E60" s="71">
        <f>E59/E5</f>
        <v>0.4535423925667828</v>
      </c>
      <c r="F60" s="71">
        <f>F59/F5</f>
        <v>0.32848988064348728</v>
      </c>
      <c r="G60" s="71">
        <f>G59/G5</f>
        <v>0.30943188086045231</v>
      </c>
      <c r="J60" s="70"/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5007-A393-4264-93C9-981103B8B2AF}">
  <dimension ref="A2:E30"/>
  <sheetViews>
    <sheetView workbookViewId="0">
      <selection activeCell="J19" sqref="J19"/>
    </sheetView>
  </sheetViews>
  <sheetFormatPr defaultRowHeight="14.4" x14ac:dyDescent="0.3"/>
  <cols>
    <col min="1" max="1" width="24.5546875" customWidth="1"/>
    <col min="2" max="5" width="20.77734375" customWidth="1"/>
  </cols>
  <sheetData>
    <row r="2" spans="1:5" ht="25.8" x14ac:dyDescent="0.5">
      <c r="A2" s="56" t="s">
        <v>21</v>
      </c>
    </row>
    <row r="3" spans="1:5" x14ac:dyDescent="0.3">
      <c r="B3" s="60" t="s">
        <v>144</v>
      </c>
      <c r="C3" s="60" t="s">
        <v>178</v>
      </c>
      <c r="D3" s="60" t="s">
        <v>179</v>
      </c>
      <c r="E3" s="72" t="s">
        <v>180</v>
      </c>
    </row>
    <row r="4" spans="1:5" ht="15" thickBot="1" x14ac:dyDescent="0.35">
      <c r="A4" s="30" t="s">
        <v>181</v>
      </c>
      <c r="B4" s="73">
        <f>Complex_Design!D2</f>
        <v>2008</v>
      </c>
      <c r="C4" s="85">
        <f>C5+C6</f>
        <v>1785</v>
      </c>
      <c r="D4" s="73">
        <f>Complex_Design!F2</f>
        <v>1969</v>
      </c>
      <c r="E4" s="85">
        <f>SUM(B4:D4)</f>
        <v>5762</v>
      </c>
    </row>
    <row r="5" spans="1:5" ht="15.6" thickTop="1" thickBot="1" x14ac:dyDescent="0.35">
      <c r="A5" s="30" t="s">
        <v>211</v>
      </c>
      <c r="B5" s="73">
        <f>B4</f>
        <v>2008</v>
      </c>
      <c r="C5" s="73">
        <f>[1]Design!$B$16</f>
        <v>1101</v>
      </c>
      <c r="E5" s="85">
        <f t="shared" ref="E5:E6" si="0">SUM(B5:D5)</f>
        <v>3109</v>
      </c>
    </row>
    <row r="6" spans="1:5" ht="15.6" thickTop="1" thickBot="1" x14ac:dyDescent="0.35">
      <c r="A6" s="30" t="s">
        <v>212</v>
      </c>
      <c r="C6" s="73">
        <f>[1]Design!$B$35</f>
        <v>684</v>
      </c>
      <c r="D6" s="73">
        <f>D4</f>
        <v>1969</v>
      </c>
      <c r="E6" s="85">
        <f t="shared" si="0"/>
        <v>2653</v>
      </c>
    </row>
    <row r="7" spans="1:5" ht="15" thickTop="1" x14ac:dyDescent="0.3"/>
    <row r="8" spans="1:5" s="67" customFormat="1" x14ac:dyDescent="0.3">
      <c r="A8" s="30" t="s">
        <v>187</v>
      </c>
      <c r="B8" s="76">
        <f>Cost!C11+Cost!D11</f>
        <v>3086951.0200000005</v>
      </c>
      <c r="C8" s="76">
        <f>[1]Cost!$C$14+[1]Cost!$D$14+[1]Cost!$C$16+[1]Cost!$D$16+[1]Cost!$C$17+[1]Cost!$D$17+[1]Cost!$C$19+[1]Cost!$D$19+[1]Cost!$C$21+[1]Cost!$C$24+[1]Cost!$D$24+[1]Cost!$C$25+[1]Cost!$C$26+[1]Cost!$D$26+[1]Cost!$C$28</f>
        <v>1076359.32</v>
      </c>
      <c r="D8"/>
      <c r="E8" s="76">
        <f>SUM(B8:D8)</f>
        <v>4163310.3400000008</v>
      </c>
    </row>
    <row r="9" spans="1:5" x14ac:dyDescent="0.3">
      <c r="A9" s="74" t="s">
        <v>209</v>
      </c>
      <c r="B9" s="79">
        <f>B8/B5</f>
        <v>1537.3262051792831</v>
      </c>
      <c r="C9" s="79">
        <f>C8/C4</f>
        <v>603.00242016806726</v>
      </c>
      <c r="D9" s="80"/>
      <c r="E9" s="79">
        <f>E8/E4</f>
        <v>722.54604998264506</v>
      </c>
    </row>
    <row r="10" spans="1:5" x14ac:dyDescent="0.3">
      <c r="A10" s="74" t="s">
        <v>210</v>
      </c>
      <c r="C10" s="79">
        <f>C8/C5</f>
        <v>977.61972752043607</v>
      </c>
      <c r="D10" s="80"/>
      <c r="E10" s="79">
        <f>E8/E5</f>
        <v>1339.1155805725316</v>
      </c>
    </row>
    <row r="12" spans="1:5" x14ac:dyDescent="0.3">
      <c r="A12" s="30" t="s">
        <v>188</v>
      </c>
      <c r="C12" s="76">
        <f>[1]Cost!$C$13+[1]Cost!$D$13+[1]Cost!$C$15+[1]Cost!$C$18+[1]Cost!$D$18+[1]Cost!$C$20+[1]Cost!$D$20+[1]Cost!$C$22+[1]Cost!$C$27+[1]Cost!$C$29</f>
        <v>290625.22000000003</v>
      </c>
      <c r="D12" s="76">
        <f>[3]Cost!$C$11+[3]Cost!$D$11</f>
        <v>843713.42</v>
      </c>
      <c r="E12" s="76">
        <f>SUM(B12:D12)</f>
        <v>1134338.6400000001</v>
      </c>
    </row>
    <row r="13" spans="1:5" x14ac:dyDescent="0.3">
      <c r="A13" s="74" t="s">
        <v>209</v>
      </c>
      <c r="C13" s="79">
        <f>C12/C4</f>
        <v>162.81524929971991</v>
      </c>
      <c r="D13" s="79">
        <f>D12/D6</f>
        <v>428.49843575418998</v>
      </c>
      <c r="E13" s="79">
        <f>E12/E4</f>
        <v>196.86543561263451</v>
      </c>
    </row>
    <row r="14" spans="1:5" x14ac:dyDescent="0.3">
      <c r="A14" s="74" t="s">
        <v>210</v>
      </c>
      <c r="C14" s="79">
        <f>C12/C6</f>
        <v>424.89067251461995</v>
      </c>
      <c r="D14" s="80"/>
      <c r="E14" s="79">
        <f>E12/(E6+[1]Design!$B$35)</f>
        <v>339.92767156128264</v>
      </c>
    </row>
    <row r="15" spans="1:5" x14ac:dyDescent="0.3">
      <c r="B15" s="75"/>
    </row>
    <row r="16" spans="1:5" ht="25.8" x14ac:dyDescent="0.5">
      <c r="A16" s="56" t="s">
        <v>151</v>
      </c>
      <c r="C16" s="56" t="s">
        <v>21</v>
      </c>
    </row>
    <row r="18" spans="1:4" ht="15" thickBot="1" x14ac:dyDescent="0.35">
      <c r="A18" s="30" t="s">
        <v>211</v>
      </c>
      <c r="B18" s="73">
        <f>E5</f>
        <v>3109</v>
      </c>
    </row>
    <row r="19" spans="1:4" s="67" customFormat="1" ht="15" thickTop="1" x14ac:dyDescent="0.3">
      <c r="A19" s="30"/>
      <c r="B19" s="78">
        <v>2189433.92</v>
      </c>
      <c r="C19"/>
      <c r="D19" t="s">
        <v>201</v>
      </c>
    </row>
    <row r="20" spans="1:4" ht="15" thickBot="1" x14ac:dyDescent="0.35">
      <c r="A20" s="74" t="s">
        <v>210</v>
      </c>
      <c r="B20" s="79">
        <f>B19/B18</f>
        <v>704.22448375683496</v>
      </c>
      <c r="C20" s="81">
        <f>E10</f>
        <v>1339.1155805725316</v>
      </c>
      <c r="D20" s="82">
        <f>B20/C20</f>
        <v>0.52588775306142554</v>
      </c>
    </row>
    <row r="21" spans="1:4" ht="15" thickTop="1" x14ac:dyDescent="0.3"/>
    <row r="22" spans="1:4" ht="15" thickBot="1" x14ac:dyDescent="0.35">
      <c r="A22" s="30" t="s">
        <v>212</v>
      </c>
      <c r="B22" s="73">
        <f>E6</f>
        <v>2653</v>
      </c>
    </row>
    <row r="23" spans="1:4" ht="15" thickTop="1" x14ac:dyDescent="0.3">
      <c r="A23" s="30"/>
      <c r="B23" s="78">
        <v>971125.9600000002</v>
      </c>
      <c r="D23" t="s">
        <v>201</v>
      </c>
    </row>
    <row r="24" spans="1:4" ht="15" thickBot="1" x14ac:dyDescent="0.35">
      <c r="A24" s="74" t="s">
        <v>210</v>
      </c>
      <c r="B24" s="79">
        <f>B23/B22</f>
        <v>366.0482321899737</v>
      </c>
      <c r="C24" s="81">
        <f>E14</f>
        <v>339.92767156128264</v>
      </c>
      <c r="D24" s="82">
        <f>B24/C24</f>
        <v>1.0768415248712166</v>
      </c>
    </row>
    <row r="25" spans="1:4" ht="15" thickTop="1" x14ac:dyDescent="0.3"/>
    <row r="26" spans="1:4" ht="25.8" x14ac:dyDescent="0.5">
      <c r="A26" s="56" t="s">
        <v>202</v>
      </c>
    </row>
    <row r="28" spans="1:4" x14ac:dyDescent="0.3">
      <c r="A28" s="30" t="s">
        <v>203</v>
      </c>
      <c r="B28" s="83">
        <v>9032993.0199999996</v>
      </c>
      <c r="D28" s="80"/>
    </row>
    <row r="29" spans="1:4" x14ac:dyDescent="0.3">
      <c r="A29" t="s">
        <v>204</v>
      </c>
      <c r="B29" s="78">
        <v>549379.47</v>
      </c>
      <c r="D29" s="80"/>
    </row>
    <row r="30" spans="1:4" x14ac:dyDescent="0.3">
      <c r="A30" s="74" t="s">
        <v>205</v>
      </c>
      <c r="B30" s="84">
        <f>B29/B28</f>
        <v>6.0819206743945871E-2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D895BA800CF4499C8A8271B46C502" ma:contentTypeVersion="11" ma:contentTypeDescription="Een nieuw document maken." ma:contentTypeScope="" ma:versionID="c959c4453205a0ee2cd6416773f5455d">
  <xsd:schema xmlns:xsd="http://www.w3.org/2001/XMLSchema" xmlns:xs="http://www.w3.org/2001/XMLSchema" xmlns:p="http://schemas.microsoft.com/office/2006/metadata/properties" xmlns:ns3="03922676-acf7-4f5e-89cb-644196f293d8" xmlns:ns4="01e92805-4879-49eb-8342-405ceef344e3" targetNamespace="http://schemas.microsoft.com/office/2006/metadata/properties" ma:root="true" ma:fieldsID="ae38fe105db1ce4151f87874b6d113e5" ns3:_="" ns4:_="">
    <xsd:import namespace="03922676-acf7-4f5e-89cb-644196f293d8"/>
    <xsd:import namespace="01e92805-4879-49eb-8342-405ceef344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22676-acf7-4f5e-89cb-644196f29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92805-4879-49eb-8342-405ceef34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50803-67F6-4958-BADA-198B37C16F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780EA-D7AD-4FC9-9056-F556C61784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25BA65-5FD4-494C-9290-90BE06A7C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922676-acf7-4f5e-89cb-644196f293d8"/>
    <ds:schemaRef ds:uri="01e92805-4879-49eb-8342-405ceef3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Design</vt:lpstr>
      <vt:lpstr>Cost</vt:lpstr>
      <vt:lpstr>Cost FR</vt:lpstr>
      <vt:lpstr>Remarks</vt:lpstr>
      <vt:lpstr>Complex_Design</vt:lpstr>
      <vt:lpstr>Complex_Cost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bovens</dc:creator>
  <cp:lastModifiedBy>Peggy Bovens</cp:lastModifiedBy>
  <cp:lastPrinted>2022-03-10T07:12:40Z</cp:lastPrinted>
  <dcterms:created xsi:type="dcterms:W3CDTF">2020-01-10T07:39:46Z</dcterms:created>
  <dcterms:modified xsi:type="dcterms:W3CDTF">2025-04-30T14:02:52Z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0x0101004F4D895BA800CF4499C8A8271B46C502</vt:lpwstr>
  </property>
</Properties>
</file>